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VN Sběř, rekonstrukce a zkapacitnění BP\DSJ MVN Sběř, rekonstrukce a zkapacitnění BP\G. Výkaz výměr a kubatur\"/>
    </mc:Choice>
  </mc:AlternateContent>
  <bookViews>
    <workbookView xWindow="0" yWindow="0" windowWidth="28770" windowHeight="12195"/>
  </bookViews>
  <sheets>
    <sheet name="SO 01" sheetId="2" r:id="rId1"/>
    <sheet name="SO 02" sheetId="3" r:id="rId2"/>
    <sheet name="celková bilance zemin" sheetId="4" r:id="rId3"/>
    <sheet name="VON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47" i="2"/>
  <c r="G45" i="2"/>
  <c r="B19" i="5"/>
  <c r="G61" i="2" l="1"/>
  <c r="G56" i="2"/>
  <c r="L33" i="3"/>
  <c r="O26" i="3"/>
  <c r="N26" i="3"/>
  <c r="M26" i="3"/>
  <c r="L26" i="3"/>
  <c r="N43" i="2"/>
  <c r="N40" i="2"/>
  <c r="N39" i="2"/>
  <c r="N38" i="2"/>
  <c r="N37" i="2"/>
  <c r="N36" i="2"/>
  <c r="N35" i="2"/>
  <c r="M43" i="2"/>
  <c r="M40" i="2"/>
  <c r="M39" i="2"/>
  <c r="M38" i="2"/>
  <c r="M37" i="2"/>
  <c r="M35" i="2"/>
  <c r="M36" i="2"/>
  <c r="L43" i="2"/>
  <c r="L40" i="2"/>
  <c r="L39" i="2"/>
  <c r="L38" i="2"/>
  <c r="L37" i="2"/>
  <c r="L36" i="2"/>
  <c r="L35" i="2"/>
  <c r="K43" i="2"/>
  <c r="K40" i="2"/>
  <c r="K39" i="2"/>
  <c r="K38" i="2"/>
  <c r="K37" i="2"/>
  <c r="K36" i="2"/>
  <c r="K35" i="2"/>
  <c r="AA24" i="2"/>
  <c r="AA10" i="2"/>
  <c r="W24" i="2"/>
  <c r="W16" i="2"/>
  <c r="S24" i="2"/>
  <c r="S10" i="2"/>
  <c r="Q12" i="2"/>
  <c r="Q10" i="2"/>
  <c r="Q8" i="2"/>
  <c r="M10" i="2"/>
  <c r="M8" i="2"/>
  <c r="M6" i="2"/>
  <c r="G60" i="2" l="1"/>
  <c r="G59" i="2"/>
  <c r="G58" i="2"/>
  <c r="G57" i="2"/>
  <c r="G53" i="2" l="1"/>
  <c r="U24" i="2"/>
  <c r="U10" i="2"/>
  <c r="I24" i="2"/>
  <c r="G52" i="2"/>
  <c r="G51" i="2"/>
  <c r="I10" i="2"/>
  <c r="G10" i="2"/>
  <c r="I35" i="2"/>
  <c r="E10" i="2"/>
  <c r="I36" i="2"/>
  <c r="I37" i="2" l="1"/>
  <c r="I38" i="2"/>
  <c r="I41" i="2" l="1"/>
  <c r="I40" i="2"/>
  <c r="I39" i="2"/>
  <c r="C4" i="4" l="1"/>
  <c r="Y24" i="2"/>
  <c r="K24" i="2" l="1"/>
  <c r="E24" i="2"/>
  <c r="G24" i="2"/>
  <c r="C8" i="4"/>
  <c r="C7" i="4"/>
  <c r="C3" i="4"/>
  <c r="F22" i="3"/>
  <c r="G22" i="3"/>
  <c r="H22" i="3"/>
  <c r="I22" i="3"/>
  <c r="J22" i="3"/>
  <c r="L22" i="3"/>
  <c r="N22" i="3"/>
  <c r="P22" i="3"/>
  <c r="R22" i="3"/>
  <c r="T22" i="3"/>
  <c r="E22" i="3"/>
  <c r="F32" i="2"/>
  <c r="H32" i="2"/>
  <c r="J32" i="2"/>
  <c r="L32" i="2"/>
  <c r="N32" i="2"/>
  <c r="P32" i="2"/>
  <c r="R32" i="2"/>
  <c r="T32" i="2"/>
  <c r="V32" i="2"/>
  <c r="X32" i="2"/>
  <c r="Z32" i="2"/>
  <c r="C16" i="3"/>
  <c r="U16" i="3" s="1"/>
  <c r="AA22" i="2"/>
  <c r="AA20" i="2"/>
  <c r="AA18" i="2"/>
  <c r="AA16" i="2"/>
  <c r="AA14" i="2"/>
  <c r="AA12" i="2"/>
  <c r="AA8" i="2"/>
  <c r="AA6" i="2"/>
  <c r="Y22" i="2"/>
  <c r="Y20" i="2"/>
  <c r="Y18" i="2"/>
  <c r="Y16" i="2"/>
  <c r="Y14" i="2"/>
  <c r="Y12" i="2"/>
  <c r="Y10" i="2"/>
  <c r="Y8" i="2"/>
  <c r="Y6" i="2"/>
  <c r="W22" i="2"/>
  <c r="W20" i="2"/>
  <c r="W18" i="2"/>
  <c r="W14" i="2"/>
  <c r="W12" i="2"/>
  <c r="W10" i="2"/>
  <c r="W8" i="2"/>
  <c r="W6" i="2"/>
  <c r="U22" i="2"/>
  <c r="U20" i="2"/>
  <c r="U18" i="2"/>
  <c r="U16" i="2"/>
  <c r="U14" i="2"/>
  <c r="U12" i="2"/>
  <c r="U8" i="2"/>
  <c r="U6" i="2"/>
  <c r="S22" i="2"/>
  <c r="S20" i="2"/>
  <c r="S18" i="2"/>
  <c r="S16" i="2"/>
  <c r="S14" i="2"/>
  <c r="S12" i="2"/>
  <c r="S8" i="2"/>
  <c r="S6" i="2"/>
  <c r="Q24" i="2"/>
  <c r="Q22" i="2"/>
  <c r="Q20" i="2"/>
  <c r="Q18" i="2"/>
  <c r="Q16" i="2"/>
  <c r="Q14" i="2"/>
  <c r="Q6" i="2"/>
  <c r="O24" i="2"/>
  <c r="O22" i="2"/>
  <c r="O20" i="2"/>
  <c r="O18" i="2"/>
  <c r="O16" i="2"/>
  <c r="O14" i="2"/>
  <c r="O12" i="2"/>
  <c r="O10" i="2"/>
  <c r="O8" i="2"/>
  <c r="O6" i="2"/>
  <c r="M24" i="2"/>
  <c r="M22" i="2"/>
  <c r="M20" i="2"/>
  <c r="M18" i="2"/>
  <c r="M16" i="2"/>
  <c r="M14" i="2"/>
  <c r="M12" i="2"/>
  <c r="K22" i="2"/>
  <c r="K20" i="2"/>
  <c r="K18" i="2"/>
  <c r="K16" i="2"/>
  <c r="K14" i="2"/>
  <c r="K12" i="2"/>
  <c r="K10" i="2"/>
  <c r="K8" i="2"/>
  <c r="K6" i="2"/>
  <c r="I22" i="2"/>
  <c r="I20" i="2"/>
  <c r="I18" i="2"/>
  <c r="I16" i="2"/>
  <c r="I14" i="2"/>
  <c r="I12" i="2"/>
  <c r="I8" i="2"/>
  <c r="I6" i="2"/>
  <c r="G22" i="2"/>
  <c r="G20" i="2"/>
  <c r="G18" i="2"/>
  <c r="G16" i="2"/>
  <c r="G14" i="2"/>
  <c r="G12" i="2"/>
  <c r="G8" i="2"/>
  <c r="G6" i="2"/>
  <c r="E22" i="2"/>
  <c r="E20" i="2"/>
  <c r="E18" i="2"/>
  <c r="E16" i="2"/>
  <c r="E14" i="2"/>
  <c r="E12" i="2"/>
  <c r="C26" i="2"/>
  <c r="AA26" i="2" s="1"/>
  <c r="C24" i="2"/>
  <c r="C22" i="2"/>
  <c r="C20" i="2"/>
  <c r="C18" i="2"/>
  <c r="C16" i="2"/>
  <c r="C14" i="2"/>
  <c r="C12" i="2"/>
  <c r="C10" i="2"/>
  <c r="C8" i="2"/>
  <c r="C14" i="3"/>
  <c r="U14" i="3" s="1"/>
  <c r="C12" i="3"/>
  <c r="S12" i="3" s="1"/>
  <c r="C10" i="3"/>
  <c r="S10" i="3" s="1"/>
  <c r="C8" i="3"/>
  <c r="E8" i="3" s="1"/>
  <c r="C6" i="3"/>
  <c r="G26" i="2" l="1"/>
  <c r="K26" i="2"/>
  <c r="Q26" i="2"/>
  <c r="S26" i="2"/>
  <c r="E26" i="2"/>
  <c r="W26" i="2"/>
  <c r="M26" i="2"/>
  <c r="Y26" i="2"/>
  <c r="I26" i="2"/>
  <c r="O26" i="2"/>
  <c r="U26" i="2"/>
  <c r="E16" i="3"/>
  <c r="E14" i="3"/>
  <c r="O6" i="3"/>
  <c r="G16" i="3"/>
  <c r="Q8" i="3"/>
  <c r="I6" i="3"/>
  <c r="Q10" i="3"/>
  <c r="O8" i="3"/>
  <c r="I8" i="3"/>
  <c r="K8" i="3"/>
  <c r="S16" i="3"/>
  <c r="K10" i="3"/>
  <c r="U6" i="3"/>
  <c r="M16" i="3"/>
  <c r="U8" i="3"/>
  <c r="G14" i="3"/>
  <c r="K6" i="3"/>
  <c r="M10" i="3"/>
  <c r="Q6" i="3"/>
  <c r="S14" i="3"/>
  <c r="M12" i="3"/>
  <c r="M14" i="3"/>
  <c r="K12" i="3"/>
  <c r="G6" i="3"/>
  <c r="I10" i="3"/>
  <c r="K14" i="3"/>
  <c r="O10" i="3"/>
  <c r="Q14" i="3"/>
  <c r="S6" i="3"/>
  <c r="U10" i="3"/>
  <c r="E12" i="3"/>
  <c r="E10" i="3"/>
  <c r="Q12" i="3"/>
  <c r="G8" i="3"/>
  <c r="I12" i="3"/>
  <c r="K16" i="3"/>
  <c r="O12" i="3"/>
  <c r="Q16" i="3"/>
  <c r="S8" i="3"/>
  <c r="U12" i="3"/>
  <c r="G10" i="3"/>
  <c r="I14" i="3"/>
  <c r="M6" i="3"/>
  <c r="O14" i="3"/>
  <c r="G12" i="3"/>
  <c r="I16" i="3"/>
  <c r="M8" i="3"/>
  <c r="O16" i="3"/>
  <c r="E6" i="3"/>
  <c r="K18" i="3" l="1"/>
  <c r="K22" i="3" s="1"/>
  <c r="I18" i="3"/>
  <c r="M18" i="3"/>
  <c r="M22" i="3" s="1"/>
  <c r="E18" i="3"/>
  <c r="Q18" i="3"/>
  <c r="Q22" i="3" s="1"/>
  <c r="O18" i="3"/>
  <c r="O22" i="3" s="1"/>
  <c r="S18" i="3"/>
  <c r="S22" i="3" s="1"/>
  <c r="U18" i="3"/>
  <c r="U22" i="3" s="1"/>
  <c r="G18" i="3"/>
  <c r="C6" i="2" l="1"/>
  <c r="E8" i="2" l="1"/>
  <c r="E6" i="2"/>
  <c r="E28" i="2" l="1"/>
  <c r="E32" i="2" s="1"/>
  <c r="B3" i="4" s="1"/>
  <c r="D3" i="4" s="1"/>
  <c r="G28" i="2"/>
  <c r="G32" i="2" s="1"/>
  <c r="O28" i="2"/>
  <c r="O32" i="2" s="1"/>
  <c r="Q28" i="2"/>
  <c r="Q32" i="2" s="1"/>
  <c r="U28" i="2"/>
  <c r="U32" i="2" s="1"/>
  <c r="D11" i="4" s="1"/>
  <c r="I28" i="2"/>
  <c r="I32" i="2" s="1"/>
  <c r="I43" i="2" s="1"/>
  <c r="Y28" i="2"/>
  <c r="Y32" i="2" s="1"/>
  <c r="B4" i="4" s="1"/>
  <c r="D4" i="4" s="1"/>
  <c r="AA28" i="2"/>
  <c r="AA32" i="2" s="1"/>
  <c r="W28" i="2"/>
  <c r="W32" i="2" s="1"/>
  <c r="K28" i="2"/>
  <c r="K32" i="2" s="1"/>
  <c r="B8" i="4" s="1"/>
  <c r="D8" i="4" s="1"/>
  <c r="S28" i="2"/>
  <c r="S32" i="2" s="1"/>
  <c r="M28" i="2"/>
  <c r="M32" i="2" s="1"/>
  <c r="D5" i="4" l="1"/>
  <c r="B7" i="4"/>
  <c r="D7" i="4" s="1"/>
  <c r="D9" i="4" s="1"/>
  <c r="D14" i="4" s="1"/>
</calcChain>
</file>

<file path=xl/sharedStrings.xml><?xml version="1.0" encoding="utf-8"?>
<sst xmlns="http://schemas.openxmlformats.org/spreadsheetml/2006/main" count="279" uniqueCount="105">
  <si>
    <t>PF</t>
  </si>
  <si>
    <t>STAN.</t>
  </si>
  <si>
    <t>VZD</t>
  </si>
  <si>
    <t>plocha</t>
  </si>
  <si>
    <t>kubatura</t>
  </si>
  <si>
    <t>[m]</t>
  </si>
  <si>
    <r>
      <t>[m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</si>
  <si>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r>
      <t>[m</t>
    </r>
    <r>
      <rPr>
        <b/>
        <vertAlign val="superscript"/>
        <sz val="10"/>
        <rFont val="Arial CE"/>
        <charset val="238"/>
      </rPr>
      <t>3</t>
    </r>
    <r>
      <rPr>
        <b/>
        <sz val="10"/>
        <rFont val="Arial CE"/>
        <family val="2"/>
        <charset val="238"/>
      </rPr>
      <t>]</t>
    </r>
  </si>
  <si>
    <t xml:space="preserve"> </t>
  </si>
  <si>
    <t>CELKEM</t>
  </si>
  <si>
    <t>délka</t>
  </si>
  <si>
    <r>
      <t>[m</t>
    </r>
    <r>
      <rPr>
        <b/>
        <sz val="10"/>
        <rFont val="Arial CE"/>
        <family val="2"/>
        <charset val="238"/>
      </rPr>
      <t>]</t>
    </r>
  </si>
  <si>
    <t>SKRÝVKA ORNICE</t>
  </si>
  <si>
    <t>OHUMUSOVÁNÍ</t>
  </si>
  <si>
    <t>OSETÍ</t>
  </si>
  <si>
    <t>VÝKOP ZEMINY
tř. 3</t>
  </si>
  <si>
    <t>DEMOLICE KAM. DL. V BET. LOŽI</t>
  </si>
  <si>
    <r>
      <t>[m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]</t>
    </r>
  </si>
  <si>
    <t>NÁSYP ZEMINY
tř. 3</t>
  </si>
  <si>
    <t>ÚPRAVA PLÁNĚ</t>
  </si>
  <si>
    <t>SVAHOVÁNÍ NÁSYPŮ</t>
  </si>
  <si>
    <t>SVAHOVÁNÍ VÝKOPŮ</t>
  </si>
  <si>
    <t>GEOTEXTILIE</t>
  </si>
  <si>
    <t>ROVNANINA Z LK 200-500 kg</t>
  </si>
  <si>
    <t>PROTIEROZNÍ ZATRAV. ROHOŽ</t>
  </si>
  <si>
    <t>výkaz výměr a kubatur - SO 01: Zkapacitnění bezpečnostního přelivu</t>
  </si>
  <si>
    <t>KÚ</t>
  </si>
  <si>
    <t>ZÚ</t>
  </si>
  <si>
    <t>výkaz výměr a kubatur - SO 02: Vyrovnání koruny hráze</t>
  </si>
  <si>
    <t>NÁSYP ZEMINY
tř. 3, hutn. 95%PS</t>
  </si>
  <si>
    <t>ŠD 0-32</t>
  </si>
  <si>
    <t>SO 01</t>
  </si>
  <si>
    <t>výkop</t>
  </si>
  <si>
    <t>násyp</t>
  </si>
  <si>
    <t>SO 02</t>
  </si>
  <si>
    <t>ornice</t>
  </si>
  <si>
    <t>ohumusování</t>
  </si>
  <si>
    <t>ŽB práh PF 3</t>
  </si>
  <si>
    <t>ŽB práh PF 6</t>
  </si>
  <si>
    <t>ŽB práh PF 7</t>
  </si>
  <si>
    <t>ŽB práh PF 8</t>
  </si>
  <si>
    <t>ŽB práh PF 9</t>
  </si>
  <si>
    <t>předpolí BP-zához 63-125</t>
  </si>
  <si>
    <t>ŽB práh PF 2</t>
  </si>
  <si>
    <t>CELKOVÁ BILANCE</t>
  </si>
  <si>
    <t>prosypání rovnanin zeminou (20% obj.)</t>
  </si>
  <si>
    <t>kam. zához fr. 63/125 mm, závěrný práh vývaru</t>
  </si>
  <si>
    <t>m3</t>
  </si>
  <si>
    <t>kam. zához fr. 63/125 mm, předpolí BP</t>
  </si>
  <si>
    <t>kam. zához do 80 kg, PB vývaru, recykl. kámen</t>
  </si>
  <si>
    <t>obj. LK</t>
  </si>
  <si>
    <t>demolice stáv. bet. práh 1</t>
  </si>
  <si>
    <t>demolice stáv. bet. práh 2</t>
  </si>
  <si>
    <t>demolice stáv. bet. práh 3</t>
  </si>
  <si>
    <t>demolice stáv. bet. práh 4</t>
  </si>
  <si>
    <t>C12/15</t>
  </si>
  <si>
    <t>C25/30</t>
  </si>
  <si>
    <t>KY50 150*8</t>
  </si>
  <si>
    <t>bednění</t>
  </si>
  <si>
    <t>tl. prahu</t>
  </si>
  <si>
    <t>nadbetonování šachty</t>
  </si>
  <si>
    <t>KY49 100*8</t>
  </si>
  <si>
    <t>zídka schodiště</t>
  </si>
  <si>
    <t>LK rovn.</t>
  </si>
  <si>
    <t>demolice část. dlažby pod výpustí</t>
  </si>
  <si>
    <t>Zajištění kompletního zařízení staveniště a jeho připojení na sítě</t>
  </si>
  <si>
    <t>kpl</t>
  </si>
  <si>
    <t>Zajištění povolení k mimořádné manipulaci</t>
  </si>
  <si>
    <t>Zajištění obnovy stávající příjezdové komunikace - nezpevněné</t>
  </si>
  <si>
    <t>pasportizace pozemků a stávající přístupové komunikace od obce Sběř</t>
  </si>
  <si>
    <t xml:space="preserve">Zpevnění stáv. propustku </t>
  </si>
  <si>
    <t>* skrývka rozbředlé vozovky na propustku (humozní vrstva) v tl. 0,30 m</t>
  </si>
  <si>
    <t>* podkladní vrstva ze štěrkodrti fr. 8-16 mm (tl. 100 mm) vč. zhutnění</t>
  </si>
  <si>
    <t>m2</t>
  </si>
  <si>
    <t>* ložní vrstva ze štěrkodrti fr. 4-8 mm (tl. 50 mm) vč. zhutnění</t>
  </si>
  <si>
    <t xml:space="preserve">* silniční ŽB panely IZD-10/10 (3,0*1,0 m) </t>
  </si>
  <si>
    <t>ks</t>
  </si>
  <si>
    <t>* nájezdové klíny š. min. 1,0 m, hl. 0,30 m, z hutněného štěrku fr. 0-32</t>
  </si>
  <si>
    <t>Převádění běžných průtoků během stavby potrubím DN 200, dl. cca 20 m</t>
  </si>
  <si>
    <t>čerpání vody ze zákl. spar</t>
  </si>
  <si>
    <t>hod</t>
  </si>
  <si>
    <t>kácení dřeviny - keře</t>
  </si>
  <si>
    <t>kácení dřeviny - strom, vč. trhání pařezu, výč. tl. 0,15 m</t>
  </si>
  <si>
    <t>kácení dřeviny - strom, vč. trhání pařezu, výč. tl. 0,20 m</t>
  </si>
  <si>
    <t>kácení dřeviny - strom, vč. trhání pařezu, výč. tl. 0,30 m</t>
  </si>
  <si>
    <t>kácení dřeviny - strom, vč. trhání pařezu, výč. tl. 0,50 m</t>
  </si>
  <si>
    <t>trhání pařezu š. 0,70 m</t>
  </si>
  <si>
    <t>likvidace klestu pálením</t>
  </si>
  <si>
    <t>Zhotovitelem vypracovaný Plán opatření pro případ havárie, pro případ úniku závadných látek (např. ropné produkty, cementové výluhy, odpadní vody z těsnících clon, atd.)</t>
  </si>
  <si>
    <t>Zpracování povodňového plánu stavby dle §71 zákona č. 254/2001 Sb. včetně zajištění schválení příslušnými orgány správy a Povodím Labe, státní podnik</t>
  </si>
  <si>
    <t>Vypracování projektu skutečného provedení díla</t>
  </si>
  <si>
    <t>Vypracování geodetického zaměření skutečného stavu</t>
  </si>
  <si>
    <t>Zajištění veškerých geodetických prací souvisejících s realizací díla</t>
  </si>
  <si>
    <t>zřízení bodu PBPP náhradou za zrušený bod v hrázi, vč. administrativy s KP</t>
  </si>
  <si>
    <t>Zajištění písemných souhlasných vyjádření všech dotčených vlastníků a případných uživatelů všech pozemků dotčených stavbou s jejich konečnou úpravou po dokončení prací</t>
  </si>
  <si>
    <t>Zajištění fotodokumentace veškerých konstrukcí, které budou v průběhu výstavby skryty nebo zakryty</t>
  </si>
  <si>
    <t>Zajištění vedení průběžné evidence odpadů</t>
  </si>
  <si>
    <t>průliny plast DN 30 3ks/práh</t>
  </si>
  <si>
    <t>kotvy oc. R6, dl. 1m</t>
  </si>
  <si>
    <t>kotvy oc. R6, dl. 0,5m</t>
  </si>
  <si>
    <t>mechanická ochrana stromu tl. 2*0,50 m</t>
  </si>
  <si>
    <t>trny 8 mm/500 mm</t>
  </si>
  <si>
    <t>očištění stáv. kce</t>
  </si>
  <si>
    <t>demontáž, deponování a zpětná montáž stáv. poklopu</t>
  </si>
  <si>
    <t>závěrečná úprava deponií, ploch dotč. stavbou, vč. osetí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</si>
</sst>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b/>
      <sz val="12"/>
      <name val="Arial CE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2" fontId="8" fillId="0" borderId="18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2" fontId="0" fillId="0" borderId="0" xfId="0" applyNumberFormat="1"/>
    <xf numFmtId="2" fontId="10" fillId="0" borderId="0" xfId="0" applyNumberFormat="1" applyFont="1"/>
    <xf numFmtId="2" fontId="11" fillId="0" borderId="0" xfId="0" applyNumberFormat="1" applyFont="1"/>
    <xf numFmtId="0" fontId="0" fillId="0" borderId="0" xfId="0" applyAlignment="1">
      <alignment horizontal="left"/>
    </xf>
    <xf numFmtId="2" fontId="12" fillId="0" borderId="0" xfId="0" applyNumberFormat="1" applyFont="1"/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30" xfId="0" applyFont="1" applyBorder="1" applyAlignment="1" applyProtection="1">
      <alignment horizontal="left" vertical="center" wrapText="1"/>
      <protection locked="0"/>
    </xf>
    <xf numFmtId="0" fontId="17" fillId="0" borderId="0" xfId="0" applyFont="1"/>
    <xf numFmtId="0" fontId="1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2" fontId="7" fillId="3" borderId="18" xfId="0" applyNumberFormat="1" applyFont="1" applyFill="1" applyBorder="1" applyAlignment="1">
      <alignment horizontal="center" vertical="center"/>
    </xf>
    <xf numFmtId="2" fontId="7" fillId="3" borderId="19" xfId="0" applyNumberFormat="1" applyFont="1" applyFill="1" applyBorder="1" applyAlignment="1">
      <alignment horizontal="center" vertical="center"/>
    </xf>
    <xf numFmtId="2" fontId="7" fillId="3" borderId="21" xfId="0" applyNumberFormat="1" applyFont="1" applyFill="1" applyBorder="1" applyAlignment="1">
      <alignment horizontal="center" vertical="center"/>
    </xf>
    <xf numFmtId="2" fontId="7" fillId="3" borderId="22" xfId="0" applyNumberFormat="1" applyFont="1" applyFill="1" applyBorder="1" applyAlignment="1">
      <alignment horizontal="center" vertical="center"/>
    </xf>
    <xf numFmtId="2" fontId="7" fillId="3" borderId="20" xfId="0" applyNumberFormat="1" applyFont="1" applyFill="1" applyBorder="1" applyAlignment="1">
      <alignment horizontal="center" vertical="center"/>
    </xf>
    <xf numFmtId="2" fontId="7" fillId="3" borderId="23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2" fontId="13" fillId="3" borderId="20" xfId="0" applyNumberFormat="1" applyFont="1" applyFill="1" applyBorder="1" applyAlignment="1">
      <alignment horizontal="center" vertical="center"/>
    </xf>
    <xf numFmtId="2" fontId="13" fillId="3" borderId="23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4"/>
  <sheetViews>
    <sheetView tabSelected="1" topLeftCell="A19" zoomScaleNormal="100" workbookViewId="0">
      <selection activeCell="O45" sqref="O45"/>
    </sheetView>
  </sheetViews>
  <sheetFormatPr defaultRowHeight="15" x14ac:dyDescent="0.25"/>
  <cols>
    <col min="1" max="1" width="5.7109375" style="1" customWidth="1"/>
    <col min="2" max="2" width="7.85546875" style="1" customWidth="1"/>
    <col min="3" max="3" width="6.7109375" style="1" customWidth="1"/>
    <col min="4" max="29" width="8.28515625" style="1" customWidth="1"/>
    <col min="32" max="32" width="8.28515625" style="1" customWidth="1"/>
    <col min="33" max="33" width="10.7109375" style="1" customWidth="1"/>
    <col min="34" max="34" width="8.28515625" style="1" customWidth="1"/>
    <col min="35" max="35" width="10.7109375" style="1" customWidth="1"/>
    <col min="36" max="36" width="8.28515625" style="1" customWidth="1"/>
    <col min="37" max="37" width="10.7109375" style="1" customWidth="1"/>
    <col min="38" max="41" width="8.28515625" style="1" customWidth="1"/>
    <col min="42" max="16384" width="9.140625" style="1"/>
  </cols>
  <sheetData>
    <row r="1" spans="1:31" ht="15.75" thickBot="1" x14ac:dyDescent="0.3">
      <c r="A1" s="40" t="s">
        <v>25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2"/>
      <c r="AA1" s="43"/>
      <c r="AD1" s="1"/>
      <c r="AE1" s="1"/>
    </row>
    <row r="2" spans="1:31" ht="33.75" customHeight="1" x14ac:dyDescent="0.25">
      <c r="A2" s="53" t="s">
        <v>0</v>
      </c>
      <c r="B2" s="56" t="s">
        <v>1</v>
      </c>
      <c r="C2" s="58" t="s">
        <v>2</v>
      </c>
      <c r="D2" s="50" t="s">
        <v>12</v>
      </c>
      <c r="E2" s="52"/>
      <c r="F2" s="50" t="s">
        <v>16</v>
      </c>
      <c r="G2" s="51"/>
      <c r="H2" s="50" t="s">
        <v>15</v>
      </c>
      <c r="I2" s="52"/>
      <c r="J2" s="50" t="s">
        <v>18</v>
      </c>
      <c r="K2" s="52"/>
      <c r="L2" s="50" t="s">
        <v>19</v>
      </c>
      <c r="M2" s="52"/>
      <c r="N2" s="50" t="s">
        <v>20</v>
      </c>
      <c r="O2" s="52"/>
      <c r="P2" s="50" t="s">
        <v>21</v>
      </c>
      <c r="Q2" s="52"/>
      <c r="R2" s="50" t="s">
        <v>22</v>
      </c>
      <c r="S2" s="51"/>
      <c r="T2" s="50" t="s">
        <v>23</v>
      </c>
      <c r="U2" s="51"/>
      <c r="V2" s="50" t="s">
        <v>24</v>
      </c>
      <c r="W2" s="51"/>
      <c r="X2" s="50" t="s">
        <v>13</v>
      </c>
      <c r="Y2" s="52"/>
      <c r="Z2" s="50" t="s">
        <v>14</v>
      </c>
      <c r="AA2" s="52"/>
      <c r="AD2" s="1"/>
      <c r="AE2" s="1"/>
    </row>
    <row r="3" spans="1:31" x14ac:dyDescent="0.25">
      <c r="A3" s="54"/>
      <c r="B3" s="57"/>
      <c r="C3" s="59"/>
      <c r="D3" s="17" t="s">
        <v>3</v>
      </c>
      <c r="E3" s="18" t="s">
        <v>4</v>
      </c>
      <c r="F3" s="17" t="s">
        <v>3</v>
      </c>
      <c r="G3" s="18" t="s">
        <v>4</v>
      </c>
      <c r="H3" s="17" t="s">
        <v>3</v>
      </c>
      <c r="I3" s="18" t="s">
        <v>4</v>
      </c>
      <c r="J3" s="17" t="s">
        <v>10</v>
      </c>
      <c r="K3" s="18" t="s">
        <v>3</v>
      </c>
      <c r="L3" s="17" t="s">
        <v>10</v>
      </c>
      <c r="M3" s="18" t="s">
        <v>3</v>
      </c>
      <c r="N3" s="17" t="s">
        <v>3</v>
      </c>
      <c r="O3" s="18" t="s">
        <v>4</v>
      </c>
      <c r="P3" s="17" t="s">
        <v>3</v>
      </c>
      <c r="Q3" s="18" t="s">
        <v>4</v>
      </c>
      <c r="R3" s="17" t="s">
        <v>10</v>
      </c>
      <c r="S3" s="18" t="s">
        <v>3</v>
      </c>
      <c r="T3" s="17" t="s">
        <v>10</v>
      </c>
      <c r="U3" s="18" t="s">
        <v>3</v>
      </c>
      <c r="V3" s="17" t="s">
        <v>10</v>
      </c>
      <c r="W3" s="18" t="s">
        <v>3</v>
      </c>
      <c r="X3" s="17" t="s">
        <v>3</v>
      </c>
      <c r="Y3" s="18" t="s">
        <v>4</v>
      </c>
      <c r="Z3" s="17" t="s">
        <v>10</v>
      </c>
      <c r="AA3" s="18" t="s">
        <v>3</v>
      </c>
      <c r="AD3" s="1"/>
      <c r="AE3" s="1"/>
    </row>
    <row r="4" spans="1:31" ht="15.75" thickBot="1" x14ac:dyDescent="0.3">
      <c r="A4" s="55"/>
      <c r="B4" s="2" t="s">
        <v>5</v>
      </c>
      <c r="C4" s="3" t="s">
        <v>5</v>
      </c>
      <c r="D4" s="19" t="s">
        <v>6</v>
      </c>
      <c r="E4" s="20" t="s">
        <v>7</v>
      </c>
      <c r="F4" s="19" t="s">
        <v>6</v>
      </c>
      <c r="G4" s="20" t="s">
        <v>7</v>
      </c>
      <c r="H4" s="19" t="s">
        <v>6</v>
      </c>
      <c r="I4" s="20" t="s">
        <v>7</v>
      </c>
      <c r="J4" s="19" t="s">
        <v>6</v>
      </c>
      <c r="K4" s="20" t="s">
        <v>7</v>
      </c>
      <c r="L4" s="19" t="s">
        <v>11</v>
      </c>
      <c r="M4" s="20" t="s">
        <v>17</v>
      </c>
      <c r="N4" s="19" t="s">
        <v>11</v>
      </c>
      <c r="O4" s="20" t="s">
        <v>17</v>
      </c>
      <c r="P4" s="19" t="s">
        <v>11</v>
      </c>
      <c r="Q4" s="20" t="s">
        <v>17</v>
      </c>
      <c r="R4" s="19" t="s">
        <v>11</v>
      </c>
      <c r="S4" s="20" t="s">
        <v>17</v>
      </c>
      <c r="T4" s="19" t="s">
        <v>6</v>
      </c>
      <c r="U4" s="20" t="s">
        <v>7</v>
      </c>
      <c r="V4" s="19" t="s">
        <v>11</v>
      </c>
      <c r="W4" s="20" t="s">
        <v>17</v>
      </c>
      <c r="X4" s="19" t="s">
        <v>6</v>
      </c>
      <c r="Y4" s="20" t="s">
        <v>7</v>
      </c>
      <c r="Z4" s="19" t="s">
        <v>11</v>
      </c>
      <c r="AA4" s="20" t="s">
        <v>17</v>
      </c>
      <c r="AD4" s="1"/>
      <c r="AE4" s="1"/>
    </row>
    <row r="5" spans="1:31" ht="15.75" thickTop="1" x14ac:dyDescent="0.25">
      <c r="A5" s="4" t="s">
        <v>27</v>
      </c>
      <c r="B5" s="5">
        <v>0</v>
      </c>
      <c r="C5" s="6"/>
      <c r="D5" s="21">
        <v>0</v>
      </c>
      <c r="E5" s="22"/>
      <c r="F5" s="21">
        <v>0</v>
      </c>
      <c r="G5" s="22"/>
      <c r="H5" s="21">
        <v>0</v>
      </c>
      <c r="I5" s="22"/>
      <c r="J5" s="21">
        <v>0</v>
      </c>
      <c r="K5" s="22"/>
      <c r="L5" s="21">
        <v>0</v>
      </c>
      <c r="M5" s="22"/>
      <c r="N5" s="21">
        <v>0</v>
      </c>
      <c r="O5" s="22"/>
      <c r="P5" s="21">
        <v>0</v>
      </c>
      <c r="Q5" s="22"/>
      <c r="R5" s="21">
        <v>0</v>
      </c>
      <c r="S5" s="22"/>
      <c r="T5" s="21">
        <v>0</v>
      </c>
      <c r="U5" s="22"/>
      <c r="V5" s="21">
        <v>0</v>
      </c>
      <c r="W5" s="22"/>
      <c r="X5" s="21">
        <v>0</v>
      </c>
      <c r="Y5" s="22"/>
      <c r="Z5" s="21">
        <v>0</v>
      </c>
      <c r="AA5" s="22"/>
      <c r="AD5" s="1"/>
      <c r="AE5" s="1"/>
    </row>
    <row r="6" spans="1:31" x14ac:dyDescent="0.25">
      <c r="A6" s="4"/>
      <c r="B6" s="5"/>
      <c r="C6" s="8">
        <f>(B7-B5)</f>
        <v>0.5</v>
      </c>
      <c r="D6" s="21"/>
      <c r="E6" s="9">
        <f>((D5+D7)/2)*$C$6</f>
        <v>0.16</v>
      </c>
      <c r="F6" s="21"/>
      <c r="G6" s="9">
        <f>((F5+F7)/2)*$C$6</f>
        <v>0</v>
      </c>
      <c r="H6" s="21"/>
      <c r="I6" s="9">
        <f>((H5+H7)/2)*$C$6</f>
        <v>0.13250000000000001</v>
      </c>
      <c r="J6" s="21"/>
      <c r="K6" s="9">
        <f>((J5+J7)/2)*$C$6</f>
        <v>0</v>
      </c>
      <c r="L6" s="21"/>
      <c r="M6" s="9">
        <f>((L5+L7)/2)*$C$6</f>
        <v>0.29499999999999998</v>
      </c>
      <c r="N6" s="21"/>
      <c r="O6" s="9">
        <f>((N5+N7)/2)*$C$6</f>
        <v>0</v>
      </c>
      <c r="P6" s="21"/>
      <c r="Q6" s="9">
        <f>((P5+P7)/2)*$C$6</f>
        <v>0.96750000000000003</v>
      </c>
      <c r="R6" s="21"/>
      <c r="S6" s="9">
        <f>((R5+R7)/2)*$C$6</f>
        <v>0</v>
      </c>
      <c r="T6" s="21"/>
      <c r="U6" s="9">
        <f>((T5+T7)/2)*$C$6</f>
        <v>0</v>
      </c>
      <c r="V6" s="21"/>
      <c r="W6" s="9">
        <f>((V5+V7)/2)*$C$6</f>
        <v>0</v>
      </c>
      <c r="X6" s="21"/>
      <c r="Y6" s="9">
        <f>((X5+X7)/2)*$C$6</f>
        <v>5.2499999999999998E-2</v>
      </c>
      <c r="Z6" s="21"/>
      <c r="AA6" s="9">
        <f>((Z5+Z7)/2)*$C$6</f>
        <v>1.0225</v>
      </c>
      <c r="AD6" s="1"/>
      <c r="AE6" s="1"/>
    </row>
    <row r="7" spans="1:31" x14ac:dyDescent="0.25">
      <c r="A7" s="4">
        <v>1</v>
      </c>
      <c r="B7" s="7">
        <v>0.5</v>
      </c>
      <c r="C7" s="6"/>
      <c r="D7" s="21">
        <v>0.64</v>
      </c>
      <c r="E7" s="9"/>
      <c r="F7" s="21">
        <v>0</v>
      </c>
      <c r="G7" s="9"/>
      <c r="H7" s="21">
        <v>0.53</v>
      </c>
      <c r="I7" s="9"/>
      <c r="J7" s="21">
        <v>0</v>
      </c>
      <c r="K7" s="9"/>
      <c r="L7" s="21">
        <v>1.18</v>
      </c>
      <c r="M7" s="9"/>
      <c r="N7" s="21">
        <v>0</v>
      </c>
      <c r="O7" s="9"/>
      <c r="P7" s="21">
        <v>3.87</v>
      </c>
      <c r="Q7" s="9"/>
      <c r="R7" s="21">
        <v>0</v>
      </c>
      <c r="S7" s="9"/>
      <c r="T7" s="21">
        <v>0</v>
      </c>
      <c r="U7" s="9"/>
      <c r="V7" s="21">
        <v>0</v>
      </c>
      <c r="W7" s="9"/>
      <c r="X7" s="21">
        <v>0.21</v>
      </c>
      <c r="Y7" s="9"/>
      <c r="Z7" s="21">
        <v>4.09</v>
      </c>
      <c r="AA7" s="9"/>
      <c r="AD7" s="1"/>
      <c r="AE7" s="1"/>
    </row>
    <row r="8" spans="1:31" x14ac:dyDescent="0.25">
      <c r="A8" s="10" t="s">
        <v>8</v>
      </c>
      <c r="B8" s="7"/>
      <c r="C8" s="8">
        <f>(B9-B7)</f>
        <v>23.22</v>
      </c>
      <c r="D8" s="23" t="s">
        <v>8</v>
      </c>
      <c r="E8" s="9">
        <f>((D7+D9)/2)*$C$8</f>
        <v>8.7074999999999996</v>
      </c>
      <c r="F8" s="23" t="s">
        <v>8</v>
      </c>
      <c r="G8" s="9">
        <f>((F7+F9)/2)*$C$8</f>
        <v>0</v>
      </c>
      <c r="H8" s="23" t="s">
        <v>8</v>
      </c>
      <c r="I8" s="9">
        <f>((H7+H9)/2)*$C$8</f>
        <v>6.1532999999999998</v>
      </c>
      <c r="J8" s="23" t="s">
        <v>8</v>
      </c>
      <c r="K8" s="9">
        <f>((J7+J9)/2)*$C$8</f>
        <v>0</v>
      </c>
      <c r="L8" s="23" t="s">
        <v>8</v>
      </c>
      <c r="M8" s="9">
        <f>((L7+1.5)/2)*$C$8</f>
        <v>31.114799999999995</v>
      </c>
      <c r="N8" s="23" t="s">
        <v>8</v>
      </c>
      <c r="O8" s="9">
        <f>((N7+N9)/2)*$C$8</f>
        <v>0</v>
      </c>
      <c r="P8" s="23" t="s">
        <v>8</v>
      </c>
      <c r="Q8" s="9">
        <f>((P7+3.14)/2)*$C$8</f>
        <v>81.386099999999999</v>
      </c>
      <c r="R8" s="23" t="s">
        <v>8</v>
      </c>
      <c r="S8" s="9">
        <f>((R7+R9)/2)*$C$8</f>
        <v>0</v>
      </c>
      <c r="T8" s="23" t="s">
        <v>8</v>
      </c>
      <c r="U8" s="9">
        <f>((T7+T9)/2)*$C$8</f>
        <v>0</v>
      </c>
      <c r="V8" s="23" t="s">
        <v>8</v>
      </c>
      <c r="W8" s="9">
        <f>((V7+V9)/2)*$C$8</f>
        <v>0</v>
      </c>
      <c r="X8" s="23" t="s">
        <v>8</v>
      </c>
      <c r="Y8" s="9">
        <f>((X7+X9)/2)*$C$8</f>
        <v>2.9024999999999999</v>
      </c>
      <c r="Z8" s="23" t="s">
        <v>8</v>
      </c>
      <c r="AA8" s="9">
        <f>((Z7+Z9)/2)*$C$8</f>
        <v>95.434199999999976</v>
      </c>
      <c r="AD8" s="1"/>
      <c r="AE8" s="1"/>
    </row>
    <row r="9" spans="1:31" x14ac:dyDescent="0.25">
      <c r="A9" s="4">
        <v>2</v>
      </c>
      <c r="B9" s="7">
        <v>23.72</v>
      </c>
      <c r="C9" s="8"/>
      <c r="D9" s="21">
        <v>0.11</v>
      </c>
      <c r="E9" s="9"/>
      <c r="F9" s="21">
        <v>0</v>
      </c>
      <c r="G9" s="9"/>
      <c r="H9" s="21">
        <v>0</v>
      </c>
      <c r="I9" s="9"/>
      <c r="J9" s="21">
        <v>0</v>
      </c>
      <c r="K9" s="9"/>
      <c r="L9" s="21">
        <v>2.09</v>
      </c>
      <c r="M9" s="9"/>
      <c r="N9" s="21">
        <v>0</v>
      </c>
      <c r="O9" s="9"/>
      <c r="P9" s="21">
        <v>4.54</v>
      </c>
      <c r="Q9" s="9"/>
      <c r="R9" s="21">
        <v>0</v>
      </c>
      <c r="S9" s="9"/>
      <c r="T9" s="21">
        <v>0</v>
      </c>
      <c r="U9" s="9"/>
      <c r="V9" s="21">
        <v>0</v>
      </c>
      <c r="W9" s="9"/>
      <c r="X9" s="21">
        <v>0.04</v>
      </c>
      <c r="Y9" s="9"/>
      <c r="Z9" s="21">
        <v>4.13</v>
      </c>
      <c r="AA9" s="9"/>
      <c r="AD9" s="1"/>
      <c r="AE9" s="1"/>
    </row>
    <row r="10" spans="1:31" x14ac:dyDescent="0.25">
      <c r="A10" s="11"/>
      <c r="B10" s="7"/>
      <c r="C10" s="8">
        <f>(B11-B9)</f>
        <v>9.07</v>
      </c>
      <c r="D10" s="23" t="s">
        <v>8</v>
      </c>
      <c r="E10" s="9">
        <f>0*$C$10</f>
        <v>0</v>
      </c>
      <c r="F10" s="23" t="s">
        <v>8</v>
      </c>
      <c r="G10" s="9">
        <f>0*$C$10</f>
        <v>0</v>
      </c>
      <c r="H10" s="23" t="s">
        <v>8</v>
      </c>
      <c r="I10" s="9">
        <f>((3.53+12.75)/2)*$C$10</f>
        <v>73.829800000000006</v>
      </c>
      <c r="J10" s="23" t="s">
        <v>8</v>
      </c>
      <c r="K10" s="9">
        <f>((J9+J11)/2)*$C$10</f>
        <v>0</v>
      </c>
      <c r="L10" s="23" t="s">
        <v>8</v>
      </c>
      <c r="M10" s="9">
        <f>((L9+11.48)/2)*$C$10</f>
        <v>61.539950000000005</v>
      </c>
      <c r="N10" s="23" t="s">
        <v>8</v>
      </c>
      <c r="O10" s="9">
        <f>((N9+N11)/2)*$C$10</f>
        <v>0</v>
      </c>
      <c r="P10" s="23" t="s">
        <v>8</v>
      </c>
      <c r="Q10" s="9">
        <f>((P9+P11)/2)*$C$10</f>
        <v>43.445300000000003</v>
      </c>
      <c r="R10" s="23" t="s">
        <v>8</v>
      </c>
      <c r="S10" s="9">
        <f>0</f>
        <v>0</v>
      </c>
      <c r="T10" s="23" t="s">
        <v>8</v>
      </c>
      <c r="U10" s="9">
        <f>((1.59+2.58)/2)*$C$10</f>
        <v>18.91095</v>
      </c>
      <c r="V10" s="23" t="s">
        <v>8</v>
      </c>
      <c r="W10" s="9">
        <f>((V9+V11)/2)*$C$10</f>
        <v>0</v>
      </c>
      <c r="X10" s="23" t="s">
        <v>8</v>
      </c>
      <c r="Y10" s="9">
        <f>((X9+X11)/2)*$C$10</f>
        <v>2.9931000000000001</v>
      </c>
      <c r="Z10" s="23" t="s">
        <v>8</v>
      </c>
      <c r="AA10" s="9">
        <f>((1.01+Z11)/2)*$C$10</f>
        <v>40.31615</v>
      </c>
      <c r="AD10" s="1"/>
      <c r="AE10" s="1"/>
    </row>
    <row r="11" spans="1:31" x14ac:dyDescent="0.25">
      <c r="A11" s="4">
        <v>3</v>
      </c>
      <c r="B11" s="7">
        <v>32.79</v>
      </c>
      <c r="C11" s="8"/>
      <c r="D11" s="21">
        <v>2.16</v>
      </c>
      <c r="E11" s="9"/>
      <c r="F11" s="21">
        <v>1.31</v>
      </c>
      <c r="G11" s="9"/>
      <c r="H11" s="21">
        <v>5.49</v>
      </c>
      <c r="I11" s="9"/>
      <c r="J11" s="21">
        <v>0</v>
      </c>
      <c r="K11" s="9"/>
      <c r="L11" s="21">
        <v>11.89</v>
      </c>
      <c r="M11" s="9"/>
      <c r="N11" s="21">
        <v>0</v>
      </c>
      <c r="O11" s="9"/>
      <c r="P11" s="21">
        <v>5.04</v>
      </c>
      <c r="Q11" s="9"/>
      <c r="R11" s="21">
        <v>7.28</v>
      </c>
      <c r="S11" s="9"/>
      <c r="T11" s="21">
        <v>3.12</v>
      </c>
      <c r="U11" s="9"/>
      <c r="V11" s="21">
        <v>0</v>
      </c>
      <c r="W11" s="9"/>
      <c r="X11" s="21">
        <v>0.62</v>
      </c>
      <c r="Y11" s="9"/>
      <c r="Z11" s="21">
        <v>7.88</v>
      </c>
      <c r="AA11" s="9"/>
      <c r="AD11" s="1"/>
      <c r="AE11" s="1"/>
    </row>
    <row r="12" spans="1:31" x14ac:dyDescent="0.25">
      <c r="A12" s="10"/>
      <c r="B12" s="16"/>
      <c r="C12" s="8">
        <f>(B13-B11)</f>
        <v>9.07</v>
      </c>
      <c r="D12" s="23"/>
      <c r="E12" s="9">
        <f>((D11+D13)/2)*$C$12</f>
        <v>17.731850000000001</v>
      </c>
      <c r="F12" s="23"/>
      <c r="G12" s="9">
        <f>((F11+F13)/2)*$C$12</f>
        <v>11.292150000000001</v>
      </c>
      <c r="H12" s="23"/>
      <c r="I12" s="9">
        <f>((H11+H13)/2)*$C$12</f>
        <v>38.456800000000001</v>
      </c>
      <c r="J12" s="23"/>
      <c r="K12" s="9">
        <f>((J11+J13)/2)*$C$12</f>
        <v>0</v>
      </c>
      <c r="L12" s="23"/>
      <c r="M12" s="9">
        <f>((L11+L13)/2)*$C$12</f>
        <v>99.180450000000008</v>
      </c>
      <c r="N12" s="23"/>
      <c r="O12" s="9">
        <f>((N11+N13)/2)*$C$12</f>
        <v>0</v>
      </c>
      <c r="P12" s="23"/>
      <c r="Q12" s="9">
        <f>((3.91+P13)/2)*$C$12</f>
        <v>42.765050000000002</v>
      </c>
      <c r="R12" s="23"/>
      <c r="S12" s="9">
        <f>((R11+R13)/2)*$C$12</f>
        <v>63.49</v>
      </c>
      <c r="T12" s="23"/>
      <c r="U12" s="9">
        <f>((T11+T13)/2)*$C$12</f>
        <v>23.309900000000003</v>
      </c>
      <c r="V12" s="23"/>
      <c r="W12" s="9">
        <f>((V11+V13)/2)*$C$12</f>
        <v>0</v>
      </c>
      <c r="X12" s="23"/>
      <c r="Y12" s="9">
        <f>((X11+X13)/2)*$C$12</f>
        <v>5.7594500000000002</v>
      </c>
      <c r="Z12" s="23"/>
      <c r="AA12" s="9">
        <f>((Z11+Z13)/2)*$C$12</f>
        <v>79.22645</v>
      </c>
      <c r="AD12" s="1"/>
      <c r="AE12" s="1"/>
    </row>
    <row r="13" spans="1:31" x14ac:dyDescent="0.25">
      <c r="A13" s="4">
        <v>4</v>
      </c>
      <c r="B13" s="5">
        <v>41.86</v>
      </c>
      <c r="C13" s="8"/>
      <c r="D13" s="21">
        <v>1.75</v>
      </c>
      <c r="E13" s="9"/>
      <c r="F13" s="21">
        <v>1.18</v>
      </c>
      <c r="G13" s="9"/>
      <c r="H13" s="21">
        <v>2.99</v>
      </c>
      <c r="I13" s="9"/>
      <c r="J13" s="21">
        <v>0</v>
      </c>
      <c r="K13" s="9"/>
      <c r="L13" s="21">
        <v>9.98</v>
      </c>
      <c r="M13" s="9"/>
      <c r="N13" s="21">
        <v>0</v>
      </c>
      <c r="O13" s="9"/>
      <c r="P13" s="21">
        <v>5.52</v>
      </c>
      <c r="Q13" s="9"/>
      <c r="R13" s="21">
        <v>6.72</v>
      </c>
      <c r="S13" s="9"/>
      <c r="T13" s="21">
        <v>2.02</v>
      </c>
      <c r="U13" s="9"/>
      <c r="V13" s="21">
        <v>0</v>
      </c>
      <c r="W13" s="9"/>
      <c r="X13" s="21">
        <v>0.65</v>
      </c>
      <c r="Y13" s="9"/>
      <c r="Z13" s="21">
        <v>9.59</v>
      </c>
      <c r="AA13" s="9"/>
      <c r="AD13" s="1"/>
      <c r="AE13" s="1"/>
    </row>
    <row r="14" spans="1:31" x14ac:dyDescent="0.25">
      <c r="A14" s="10"/>
      <c r="B14" s="5"/>
      <c r="C14" s="8">
        <f>(B15-B13)</f>
        <v>15.799999999999997</v>
      </c>
      <c r="D14" s="23"/>
      <c r="E14" s="9">
        <f>((D13+D15)/2)*$C$14</f>
        <v>27.570999999999998</v>
      </c>
      <c r="F14" s="23"/>
      <c r="G14" s="9">
        <f>((F13+F15)/2)*$C$14</f>
        <v>18.248999999999995</v>
      </c>
      <c r="H14" s="23"/>
      <c r="I14" s="9">
        <f>((H13+H15)/2)*$C$14</f>
        <v>45.898999999999994</v>
      </c>
      <c r="J14" s="23"/>
      <c r="K14" s="9">
        <f>((J13+J15)/2)*$C$14</f>
        <v>0.39499999999999996</v>
      </c>
      <c r="L14" s="23"/>
      <c r="M14" s="9">
        <f>((L13+L15)/2)*$C$14</f>
        <v>157.52599999999998</v>
      </c>
      <c r="N14" s="23"/>
      <c r="O14" s="9">
        <f>((N13+N15)/2)*$C$14</f>
        <v>0</v>
      </c>
      <c r="P14" s="23"/>
      <c r="Q14" s="9">
        <f>((P13+P15)/2)*$C$14</f>
        <v>87.21599999999998</v>
      </c>
      <c r="R14" s="23"/>
      <c r="S14" s="9">
        <f>((R13+R15)/2)*$C$14</f>
        <v>106.09699999999998</v>
      </c>
      <c r="T14" s="23"/>
      <c r="U14" s="9">
        <f>((T13+T15)/2)*$C$14</f>
        <v>31.915999999999993</v>
      </c>
      <c r="V14" s="23"/>
      <c r="W14" s="9">
        <f>((V13+V15)/2)*$C$14</f>
        <v>0</v>
      </c>
      <c r="X14" s="23"/>
      <c r="Y14" s="9">
        <f>((X13+X15)/2)*$C$14</f>
        <v>10.348999999999998</v>
      </c>
      <c r="Z14" s="23"/>
      <c r="AA14" s="9">
        <f>((Z13+Z15)/2)*$C$14</f>
        <v>151.36399999999998</v>
      </c>
      <c r="AD14" s="1"/>
      <c r="AE14" s="1"/>
    </row>
    <row r="15" spans="1:31" x14ac:dyDescent="0.25">
      <c r="A15" s="4">
        <v>5</v>
      </c>
      <c r="B15" s="5">
        <v>57.66</v>
      </c>
      <c r="C15" s="8"/>
      <c r="D15" s="21">
        <v>1.74</v>
      </c>
      <c r="E15" s="9"/>
      <c r="F15" s="21">
        <v>1.1299999999999999</v>
      </c>
      <c r="G15" s="9"/>
      <c r="H15" s="21">
        <v>2.82</v>
      </c>
      <c r="I15" s="9"/>
      <c r="J15" s="21">
        <v>0.05</v>
      </c>
      <c r="K15" s="9"/>
      <c r="L15" s="21">
        <v>9.9600000000000009</v>
      </c>
      <c r="M15" s="9"/>
      <c r="N15" s="21">
        <v>0</v>
      </c>
      <c r="O15" s="9"/>
      <c r="P15" s="21">
        <v>5.52</v>
      </c>
      <c r="Q15" s="9"/>
      <c r="R15" s="21">
        <v>6.71</v>
      </c>
      <c r="S15" s="9"/>
      <c r="T15" s="21">
        <v>2.02</v>
      </c>
      <c r="U15" s="9"/>
      <c r="V15" s="21">
        <v>0</v>
      </c>
      <c r="W15" s="9"/>
      <c r="X15" s="21">
        <v>0.66</v>
      </c>
      <c r="Y15" s="9"/>
      <c r="Z15" s="21">
        <v>9.57</v>
      </c>
      <c r="AA15" s="9"/>
      <c r="AD15" s="1"/>
      <c r="AE15" s="1"/>
    </row>
    <row r="16" spans="1:31" x14ac:dyDescent="0.25">
      <c r="A16" s="10"/>
      <c r="B16" s="5"/>
      <c r="C16" s="8">
        <f>(B17-B15)</f>
        <v>21.710000000000008</v>
      </c>
      <c r="D16" s="23"/>
      <c r="E16" s="9">
        <f>((D15+D17)/2)*$C$16</f>
        <v>25.61780000000001</v>
      </c>
      <c r="F16" s="23"/>
      <c r="G16" s="9">
        <f>((F15+F17)/2)*$C$16</f>
        <v>25.183600000000009</v>
      </c>
      <c r="H16" s="23"/>
      <c r="I16" s="9">
        <f>((H15+H17)/2)*$C$16</f>
        <v>50.475750000000019</v>
      </c>
      <c r="J16" s="23"/>
      <c r="K16" s="9">
        <f>((J15+J17)/2)*$C$16</f>
        <v>4.8847500000000021</v>
      </c>
      <c r="L16" s="23"/>
      <c r="M16" s="9">
        <f>((L15+L17)/2)*$C$16</f>
        <v>131.56260000000006</v>
      </c>
      <c r="N16" s="23"/>
      <c r="O16" s="9">
        <f>((N15+N17)/2)*$C$16</f>
        <v>12.266150000000003</v>
      </c>
      <c r="P16" s="23"/>
      <c r="Q16" s="9">
        <f>((P15+P17)/2)*$C$16</f>
        <v>132.97375000000005</v>
      </c>
      <c r="R16" s="23"/>
      <c r="S16" s="9">
        <f>((R15+R17)/2)*$C$16</f>
        <v>148.93060000000006</v>
      </c>
      <c r="T16" s="23"/>
      <c r="U16" s="9">
        <f>((T15+T17)/2)*$C$16</f>
        <v>45.265350000000019</v>
      </c>
      <c r="V16" s="23"/>
      <c r="W16" s="9">
        <f>0</f>
        <v>0</v>
      </c>
      <c r="X16" s="23"/>
      <c r="Y16" s="9">
        <f>((X15+X17)/2)*$C$16</f>
        <v>11.940500000000005</v>
      </c>
      <c r="Z16" s="23"/>
      <c r="AA16" s="9">
        <f>((Z15+Z17)/2)*$C$16</f>
        <v>151.10160000000005</v>
      </c>
      <c r="AD16" s="1"/>
      <c r="AE16" s="1"/>
    </row>
    <row r="17" spans="1:31" x14ac:dyDescent="0.25">
      <c r="A17" s="4">
        <v>6</v>
      </c>
      <c r="B17" s="5">
        <v>79.37</v>
      </c>
      <c r="C17" s="8"/>
      <c r="D17" s="21">
        <v>0.62</v>
      </c>
      <c r="E17" s="9"/>
      <c r="F17" s="21">
        <v>1.19</v>
      </c>
      <c r="G17" s="9"/>
      <c r="H17" s="21">
        <v>1.83</v>
      </c>
      <c r="I17" s="9"/>
      <c r="J17" s="21">
        <v>0.4</v>
      </c>
      <c r="K17" s="9"/>
      <c r="L17" s="21">
        <v>2.16</v>
      </c>
      <c r="M17" s="9"/>
      <c r="N17" s="21">
        <v>1.1299999999999999</v>
      </c>
      <c r="O17" s="9"/>
      <c r="P17" s="21">
        <v>6.73</v>
      </c>
      <c r="Q17" s="9"/>
      <c r="R17" s="21">
        <v>7.01</v>
      </c>
      <c r="S17" s="9"/>
      <c r="T17" s="21">
        <v>2.15</v>
      </c>
      <c r="U17" s="9"/>
      <c r="V17" s="21">
        <v>3.56</v>
      </c>
      <c r="W17" s="9"/>
      <c r="X17" s="21">
        <v>0.44</v>
      </c>
      <c r="Y17" s="9"/>
      <c r="Z17" s="21">
        <v>4.3499999999999996</v>
      </c>
      <c r="AA17" s="9"/>
      <c r="AD17" s="1"/>
      <c r="AE17" s="1"/>
    </row>
    <row r="18" spans="1:31" x14ac:dyDescent="0.25">
      <c r="A18" s="10"/>
      <c r="B18" s="5"/>
      <c r="C18" s="8">
        <f>(B19-B17)</f>
        <v>7.5799999999999983</v>
      </c>
      <c r="D18" s="23"/>
      <c r="E18" s="9">
        <f>((D17+D19)/2)*$C$18</f>
        <v>5.9502999999999977</v>
      </c>
      <c r="F18" s="23"/>
      <c r="G18" s="9">
        <f>((F17+F19)/2)*$C$18</f>
        <v>8.7548999999999975</v>
      </c>
      <c r="H18" s="23"/>
      <c r="I18" s="9">
        <f>((H17+H19)/2)*$C$18</f>
        <v>15.842199999999995</v>
      </c>
      <c r="J18" s="23"/>
      <c r="K18" s="9">
        <f>((J17+J19)/2)*$C$18</f>
        <v>2.1602999999999999</v>
      </c>
      <c r="L18" s="23"/>
      <c r="M18" s="9">
        <f>((L17+L19)/2)*$C$18</f>
        <v>16.486499999999996</v>
      </c>
      <c r="N18" s="23"/>
      <c r="O18" s="9">
        <f>((N17+N19)/2)*$C$18</f>
        <v>5.6470999999999982</v>
      </c>
      <c r="P18" s="23"/>
      <c r="Q18" s="9">
        <f>((P17+P19)/2)*$C$18</f>
        <v>67.27249999999998</v>
      </c>
      <c r="R18" s="23"/>
      <c r="S18" s="9">
        <f>((R17+R19)/2)*$C$18</f>
        <v>51.430299999999988</v>
      </c>
      <c r="T18" s="23"/>
      <c r="U18" s="9">
        <f>((T17+T19)/2)*$C$18</f>
        <v>15.576899999999995</v>
      </c>
      <c r="V18" s="23"/>
      <c r="W18" s="9">
        <f>((V17+V19)/2)*$C$18</f>
        <v>34.602699999999999</v>
      </c>
      <c r="X18" s="23"/>
      <c r="Y18" s="9">
        <f>((X17+X19)/2)*$C$18</f>
        <v>4.6995999999999993</v>
      </c>
      <c r="Z18" s="23"/>
      <c r="AA18" s="9">
        <f>((Z17+Z19)/2)*$C$18</f>
        <v>46.844399999999986</v>
      </c>
      <c r="AD18" s="1"/>
      <c r="AE18" s="1"/>
    </row>
    <row r="19" spans="1:31" x14ac:dyDescent="0.25">
      <c r="A19" s="4">
        <v>7</v>
      </c>
      <c r="B19" s="5">
        <v>86.95</v>
      </c>
      <c r="C19" s="8"/>
      <c r="D19" s="21">
        <v>0.95</v>
      </c>
      <c r="E19" s="9"/>
      <c r="F19" s="21">
        <v>1.1200000000000001</v>
      </c>
      <c r="G19" s="9"/>
      <c r="H19" s="21">
        <v>2.35</v>
      </c>
      <c r="I19" s="9"/>
      <c r="J19" s="21">
        <v>0.17</v>
      </c>
      <c r="K19" s="9"/>
      <c r="L19" s="21">
        <v>2.19</v>
      </c>
      <c r="M19" s="9"/>
      <c r="N19" s="21">
        <v>0.36</v>
      </c>
      <c r="O19" s="9"/>
      <c r="P19" s="21">
        <v>11.02</v>
      </c>
      <c r="Q19" s="9"/>
      <c r="R19" s="21">
        <v>6.56</v>
      </c>
      <c r="S19" s="9"/>
      <c r="T19" s="21">
        <v>1.96</v>
      </c>
      <c r="U19" s="9"/>
      <c r="V19" s="21">
        <v>5.57</v>
      </c>
      <c r="W19" s="9"/>
      <c r="X19" s="21">
        <v>0.8</v>
      </c>
      <c r="Y19" s="9"/>
      <c r="Z19" s="21">
        <v>8.01</v>
      </c>
      <c r="AA19" s="9"/>
      <c r="AD19" s="1"/>
      <c r="AE19" s="1"/>
    </row>
    <row r="20" spans="1:31" x14ac:dyDescent="0.25">
      <c r="A20" s="10"/>
      <c r="B20" s="5"/>
      <c r="C20" s="8">
        <f>(B21-B19)</f>
        <v>12.189999999999998</v>
      </c>
      <c r="D20" s="23"/>
      <c r="E20" s="9">
        <f>((D19+D21)/2)*$C$20</f>
        <v>11.031949999999998</v>
      </c>
      <c r="F20" s="23"/>
      <c r="G20" s="9">
        <f>((F19+F21)/2)*$C$20</f>
        <v>13.957549999999998</v>
      </c>
      <c r="H20" s="23"/>
      <c r="I20" s="9">
        <f>((H19+H21)/2)*$C$20</f>
        <v>45.285849999999989</v>
      </c>
      <c r="J20" s="23"/>
      <c r="K20" s="9">
        <f>((J19+J21)/2)*$C$20</f>
        <v>4.1445999999999996</v>
      </c>
      <c r="L20" s="23"/>
      <c r="M20" s="9">
        <f>((L19+L21)/2)*$C$20</f>
        <v>38.886099999999999</v>
      </c>
      <c r="N20" s="23"/>
      <c r="O20" s="9">
        <f>((N19+N21)/2)*$C$20</f>
        <v>14.627999999999997</v>
      </c>
      <c r="P20" s="23"/>
      <c r="Q20" s="9">
        <f>((P19+P21)/2)*$C$20</f>
        <v>108.12529999999997</v>
      </c>
      <c r="R20" s="23"/>
      <c r="S20" s="9">
        <f>((R19+R21)/2)*$C$20</f>
        <v>94.899149999999977</v>
      </c>
      <c r="T20" s="23"/>
      <c r="U20" s="9">
        <f>((T19+T21)/2)*$C$20</f>
        <v>29.865499999999997</v>
      </c>
      <c r="V20" s="23"/>
      <c r="W20" s="9">
        <f>((V19+V21)/2)*$C$20</f>
        <v>54.550249999999984</v>
      </c>
      <c r="X20" s="23"/>
      <c r="Y20" s="9">
        <f>((X19+X21)/2)*$C$20</f>
        <v>7.9844499999999989</v>
      </c>
      <c r="Z20" s="23"/>
      <c r="AA20" s="9">
        <f>((Z19+Z21)/2)*$C$20</f>
        <v>79.722599999999986</v>
      </c>
      <c r="AD20" s="1"/>
      <c r="AE20" s="1"/>
    </row>
    <row r="21" spans="1:31" x14ac:dyDescent="0.25">
      <c r="A21" s="4">
        <v>8</v>
      </c>
      <c r="B21" s="5">
        <v>99.14</v>
      </c>
      <c r="C21" s="8"/>
      <c r="D21" s="21">
        <v>0.86</v>
      </c>
      <c r="E21" s="9"/>
      <c r="F21" s="21">
        <v>1.17</v>
      </c>
      <c r="G21" s="9"/>
      <c r="H21" s="21">
        <v>5.08</v>
      </c>
      <c r="I21" s="9"/>
      <c r="J21" s="21">
        <v>0.51</v>
      </c>
      <c r="K21" s="9"/>
      <c r="L21" s="21">
        <v>4.1900000000000004</v>
      </c>
      <c r="M21" s="9"/>
      <c r="N21" s="21">
        <v>2.04</v>
      </c>
      <c r="O21" s="9"/>
      <c r="P21" s="21">
        <v>6.72</v>
      </c>
      <c r="Q21" s="9"/>
      <c r="R21" s="21">
        <v>9.01</v>
      </c>
      <c r="S21" s="9"/>
      <c r="T21" s="21">
        <v>2.94</v>
      </c>
      <c r="U21" s="9"/>
      <c r="V21" s="21">
        <v>3.38</v>
      </c>
      <c r="W21" s="9"/>
      <c r="X21" s="21">
        <v>0.51</v>
      </c>
      <c r="Y21" s="9"/>
      <c r="Z21" s="21">
        <v>5.07</v>
      </c>
      <c r="AA21" s="9"/>
      <c r="AD21" s="1"/>
      <c r="AE21" s="1"/>
    </row>
    <row r="22" spans="1:31" x14ac:dyDescent="0.25">
      <c r="A22" s="10"/>
      <c r="B22" s="5"/>
      <c r="C22" s="8">
        <f>(B23-B21)</f>
        <v>5.9699999999999989</v>
      </c>
      <c r="D22" s="23"/>
      <c r="E22" s="9">
        <f>((D21+D23)/2)*$C$22</f>
        <v>5.4326999999999988</v>
      </c>
      <c r="F22" s="23"/>
      <c r="G22" s="9">
        <f>((F21+F23)/2)*$C$22</f>
        <v>7.3132499999999991</v>
      </c>
      <c r="H22" s="23"/>
      <c r="I22" s="9">
        <f>((H21+H23)/2)*$C$22</f>
        <v>25.760549999999991</v>
      </c>
      <c r="J22" s="23"/>
      <c r="K22" s="9">
        <f>((J21+J23)/2)*$C$22</f>
        <v>1.9999499999999997</v>
      </c>
      <c r="L22" s="23"/>
      <c r="M22" s="9">
        <f>((L21+L23)/2)*$C$22</f>
        <v>39.401999999999994</v>
      </c>
      <c r="N22" s="23"/>
      <c r="O22" s="9">
        <f>((N21+N23)/2)*$C$22</f>
        <v>6.0893999999999986</v>
      </c>
      <c r="P22" s="23"/>
      <c r="Q22" s="9">
        <f>((P21+P23)/2)*$C$22</f>
        <v>36.11849999999999</v>
      </c>
      <c r="R22" s="23"/>
      <c r="S22" s="9">
        <f>((R21+R23)/2)*$C$22</f>
        <v>56.864249999999984</v>
      </c>
      <c r="T22" s="23"/>
      <c r="U22" s="9">
        <f>((T21+T23)/2)*$C$22</f>
        <v>18.745799999999996</v>
      </c>
      <c r="V22" s="23"/>
      <c r="W22" s="9">
        <f>((V21+V23)/2)*$C$22</f>
        <v>16.059299999999997</v>
      </c>
      <c r="X22" s="23"/>
      <c r="Y22" s="9">
        <f>((X21+X23)/2)*$C$22</f>
        <v>3.1640999999999995</v>
      </c>
      <c r="Z22" s="23"/>
      <c r="AA22" s="9">
        <f>((Z21+Z23)/2)*$C$22</f>
        <v>31.551449999999996</v>
      </c>
      <c r="AD22" s="1"/>
      <c r="AE22" s="1"/>
    </row>
    <row r="23" spans="1:31" x14ac:dyDescent="0.25">
      <c r="A23" s="4">
        <v>9</v>
      </c>
      <c r="B23" s="5">
        <v>105.11</v>
      </c>
      <c r="C23" s="8"/>
      <c r="D23" s="21">
        <v>0.96</v>
      </c>
      <c r="E23" s="9"/>
      <c r="F23" s="21">
        <v>1.28</v>
      </c>
      <c r="G23" s="9"/>
      <c r="H23" s="21">
        <v>3.55</v>
      </c>
      <c r="I23" s="9"/>
      <c r="J23" s="21">
        <v>0.16</v>
      </c>
      <c r="K23" s="9"/>
      <c r="L23" s="21">
        <v>9.01</v>
      </c>
      <c r="M23" s="9"/>
      <c r="N23" s="21">
        <v>0</v>
      </c>
      <c r="O23" s="9"/>
      <c r="P23" s="21">
        <v>5.38</v>
      </c>
      <c r="Q23" s="9"/>
      <c r="R23" s="21">
        <v>10.039999999999999</v>
      </c>
      <c r="S23" s="9"/>
      <c r="T23" s="21">
        <v>3.34</v>
      </c>
      <c r="U23" s="9"/>
      <c r="V23" s="21">
        <v>2</v>
      </c>
      <c r="W23" s="9"/>
      <c r="X23" s="21">
        <v>0.55000000000000004</v>
      </c>
      <c r="Y23" s="9"/>
      <c r="Z23" s="21">
        <v>5.5</v>
      </c>
      <c r="AA23" s="9"/>
      <c r="AD23" s="1"/>
      <c r="AE23" s="1"/>
    </row>
    <row r="24" spans="1:31" x14ac:dyDescent="0.25">
      <c r="A24" s="10"/>
      <c r="B24" s="5"/>
      <c r="C24" s="8">
        <f>(B25-B23)</f>
        <v>17.060000000000002</v>
      </c>
      <c r="D24" s="23"/>
      <c r="E24" s="9">
        <f>((1.33+D25)/2)*$C$24</f>
        <v>15.865800000000004</v>
      </c>
      <c r="F24" s="23"/>
      <c r="G24" s="9">
        <f>((0+F25)/2)*$C$24</f>
        <v>0</v>
      </c>
      <c r="H24" s="23"/>
      <c r="I24" s="9">
        <f>((2.41+H25)/2)*$C$24+(1.22*4)</f>
        <v>26.205000000000002</v>
      </c>
      <c r="J24" s="23"/>
      <c r="K24" s="9">
        <f>((0.52+J25)/2)*$C$24</f>
        <v>4.4356000000000009</v>
      </c>
      <c r="L24" s="23"/>
      <c r="M24" s="9">
        <f>((L23+L25)/2)*$C$24</f>
        <v>151.40750000000003</v>
      </c>
      <c r="N24" s="23"/>
      <c r="O24" s="9">
        <f>((N23+N25)/2)*$C$24</f>
        <v>0</v>
      </c>
      <c r="P24" s="23"/>
      <c r="Q24" s="9">
        <f>((P23+P25)/2)*$C$24</f>
        <v>98.948000000000008</v>
      </c>
      <c r="R24" s="23"/>
      <c r="S24" s="9">
        <f>0</f>
        <v>0</v>
      </c>
      <c r="T24" s="23"/>
      <c r="U24" s="9">
        <f>((0+T25)/2)*$C$24</f>
        <v>0</v>
      </c>
      <c r="V24" s="23"/>
      <c r="W24" s="9">
        <f>0</f>
        <v>0</v>
      </c>
      <c r="X24" s="23"/>
      <c r="Y24" s="9">
        <f>((1.39+X25)/2)*$C$24</f>
        <v>12.795000000000002</v>
      </c>
      <c r="Z24" s="23"/>
      <c r="AA24" s="9">
        <f>((13.85+Z25)/2)*$C$24</f>
        <v>245.66400000000002</v>
      </c>
      <c r="AD24" s="1"/>
      <c r="AE24" s="1"/>
    </row>
    <row r="25" spans="1:31" x14ac:dyDescent="0.25">
      <c r="A25" s="4">
        <v>10</v>
      </c>
      <c r="B25" s="5">
        <v>122.17</v>
      </c>
      <c r="C25" s="8"/>
      <c r="D25" s="21">
        <v>0.53</v>
      </c>
      <c r="E25" s="9"/>
      <c r="F25" s="21">
        <v>0</v>
      </c>
      <c r="G25" s="9"/>
      <c r="H25" s="21">
        <v>0.09</v>
      </c>
      <c r="I25" s="9"/>
      <c r="J25" s="21">
        <v>0</v>
      </c>
      <c r="K25" s="9"/>
      <c r="L25" s="21">
        <v>8.74</v>
      </c>
      <c r="M25" s="9"/>
      <c r="N25" s="21">
        <v>0</v>
      </c>
      <c r="O25" s="9"/>
      <c r="P25" s="21">
        <v>6.22</v>
      </c>
      <c r="Q25" s="9"/>
      <c r="R25" s="21">
        <v>0</v>
      </c>
      <c r="S25" s="9"/>
      <c r="T25" s="21">
        <v>0</v>
      </c>
      <c r="U25" s="9"/>
      <c r="V25" s="21">
        <v>0</v>
      </c>
      <c r="W25" s="9"/>
      <c r="X25" s="21">
        <v>0.11</v>
      </c>
      <c r="Y25" s="9"/>
      <c r="Z25" s="21">
        <v>14.95</v>
      </c>
      <c r="AA25" s="9"/>
      <c r="AD25" s="1"/>
      <c r="AE25" s="1"/>
    </row>
    <row r="26" spans="1:31" x14ac:dyDescent="0.25">
      <c r="A26" s="10"/>
      <c r="B26" s="5"/>
      <c r="C26" s="8">
        <f>(B27-B25)</f>
        <v>2.5799999999999983</v>
      </c>
      <c r="D26" s="23"/>
      <c r="E26" s="9">
        <f>((D25+D27)/2)*$C$26</f>
        <v>0.68369999999999953</v>
      </c>
      <c r="F26" s="23"/>
      <c r="G26" s="9">
        <f>((F25+F27)/2)*$C$26</f>
        <v>0</v>
      </c>
      <c r="H26" s="23"/>
      <c r="I26" s="9">
        <f>((H25+H27)/2)*$C$26</f>
        <v>0.11609999999999993</v>
      </c>
      <c r="J26" s="23"/>
      <c r="K26" s="9">
        <f>((J25+J27)/2)*$C$26</f>
        <v>0</v>
      </c>
      <c r="L26" s="23"/>
      <c r="M26" s="9">
        <f>((L25+L27)/2)*$C$26</f>
        <v>11.274599999999992</v>
      </c>
      <c r="N26" s="23"/>
      <c r="O26" s="9">
        <f>((N25+N27)/2)*$C$26</f>
        <v>0</v>
      </c>
      <c r="P26" s="23"/>
      <c r="Q26" s="9">
        <f>((P25+P27)/2)*$C$26</f>
        <v>8.0237999999999943</v>
      </c>
      <c r="R26" s="23"/>
      <c r="S26" s="9">
        <f>((R25+R27)/2)*$C$26</f>
        <v>0</v>
      </c>
      <c r="T26" s="23"/>
      <c r="U26" s="9">
        <f>((T25+T27)/2)*$C$26</f>
        <v>0</v>
      </c>
      <c r="V26" s="23"/>
      <c r="W26" s="9">
        <f>((V25+V27)/2)*$C$26</f>
        <v>0</v>
      </c>
      <c r="X26" s="23"/>
      <c r="Y26" s="9">
        <f>((X25+X27)/2)*$C$26</f>
        <v>0.14189999999999992</v>
      </c>
      <c r="Z26" s="23"/>
      <c r="AA26" s="9">
        <f>((Z25+Z27)/2)*$C$26</f>
        <v>19.285499999999985</v>
      </c>
      <c r="AD26" s="1"/>
      <c r="AE26" s="1"/>
    </row>
    <row r="27" spans="1:31" ht="15.75" thickBot="1" x14ac:dyDescent="0.3">
      <c r="A27" s="10" t="s">
        <v>26</v>
      </c>
      <c r="B27" s="5">
        <v>124.75</v>
      </c>
      <c r="C27" s="12"/>
      <c r="D27" s="21">
        <v>0</v>
      </c>
      <c r="E27" s="24"/>
      <c r="F27" s="21">
        <v>0</v>
      </c>
      <c r="G27" s="24"/>
      <c r="H27" s="21">
        <v>0</v>
      </c>
      <c r="I27" s="24"/>
      <c r="J27" s="21">
        <v>0</v>
      </c>
      <c r="K27" s="24"/>
      <c r="L27" s="21">
        <v>0</v>
      </c>
      <c r="M27" s="24"/>
      <c r="N27" s="21">
        <v>0</v>
      </c>
      <c r="O27" s="24"/>
      <c r="P27" s="21">
        <v>0</v>
      </c>
      <c r="Q27" s="24"/>
      <c r="R27" s="21">
        <v>0</v>
      </c>
      <c r="S27" s="24"/>
      <c r="T27" s="21">
        <v>0</v>
      </c>
      <c r="U27" s="24"/>
      <c r="V27" s="21">
        <v>0</v>
      </c>
      <c r="W27" s="24"/>
      <c r="X27" s="21">
        <v>0</v>
      </c>
      <c r="Y27" s="24"/>
      <c r="Z27" s="21">
        <v>0</v>
      </c>
      <c r="AA27" s="24"/>
      <c r="AD27" s="1"/>
      <c r="AE27" s="1"/>
    </row>
    <row r="28" spans="1:31" ht="15" customHeight="1" x14ac:dyDescent="0.25">
      <c r="A28" s="44" t="s">
        <v>9</v>
      </c>
      <c r="B28" s="45"/>
      <c r="C28" s="45"/>
      <c r="D28" s="13"/>
      <c r="E28" s="48">
        <f>SUM(E5:E27)</f>
        <v>118.7526</v>
      </c>
      <c r="F28" s="13"/>
      <c r="G28" s="48">
        <f t="shared" ref="G28" si="0">SUM(G5:G27)</f>
        <v>84.750449999999987</v>
      </c>
      <c r="H28" s="13"/>
      <c r="I28" s="48">
        <f t="shared" ref="I28" si="1">SUM(I5:I27)</f>
        <v>328.15684999999996</v>
      </c>
      <c r="J28" s="13"/>
      <c r="K28" s="48">
        <f t="shared" ref="K28" si="2">SUM(K5:K27)</f>
        <v>18.020200000000003</v>
      </c>
      <c r="L28" s="13"/>
      <c r="M28" s="48">
        <f t="shared" ref="M28" si="3">SUM(M5:M27)</f>
        <v>738.67550000000006</v>
      </c>
      <c r="N28" s="13"/>
      <c r="O28" s="48">
        <f t="shared" ref="O28" si="4">SUM(O5:O27)</f>
        <v>38.630649999999996</v>
      </c>
      <c r="P28" s="13"/>
      <c r="Q28" s="48">
        <f t="shared" ref="Q28" si="5">SUM(Q5:Q27)</f>
        <v>707.24180000000001</v>
      </c>
      <c r="R28" s="13"/>
      <c r="S28" s="48">
        <f t="shared" ref="S28" si="6">SUM(S5:S27)</f>
        <v>521.71129999999994</v>
      </c>
      <c r="T28" s="13"/>
      <c r="U28" s="48">
        <f t="shared" ref="U28" si="7">SUM(U5:U27)</f>
        <v>183.59040000000002</v>
      </c>
      <c r="V28" s="13"/>
      <c r="W28" s="48">
        <f t="shared" ref="W28" si="8">SUM(W5:W27)</f>
        <v>105.21224999999997</v>
      </c>
      <c r="X28" s="13"/>
      <c r="Y28" s="48">
        <f t="shared" ref="Y28" si="9">SUM(Y5:Y27)</f>
        <v>62.7821</v>
      </c>
      <c r="Z28" s="13"/>
      <c r="AA28" s="48">
        <f t="shared" ref="AA28" si="10">SUM(AA5:AA27)</f>
        <v>941.53284999999994</v>
      </c>
      <c r="AD28" s="1"/>
      <c r="AE28" s="1"/>
    </row>
    <row r="29" spans="1:31" ht="15.75" customHeight="1" thickBot="1" x14ac:dyDescent="0.3">
      <c r="A29" s="46"/>
      <c r="B29" s="47"/>
      <c r="C29" s="47"/>
      <c r="D29" s="14"/>
      <c r="E29" s="49"/>
      <c r="F29" s="14"/>
      <c r="G29" s="49"/>
      <c r="H29" s="14"/>
      <c r="I29" s="49"/>
      <c r="J29" s="14"/>
      <c r="K29" s="49"/>
      <c r="L29" s="14"/>
      <c r="M29" s="49"/>
      <c r="N29" s="14"/>
      <c r="O29" s="49"/>
      <c r="P29" s="14"/>
      <c r="Q29" s="49"/>
      <c r="R29" s="14"/>
      <c r="S29" s="49"/>
      <c r="T29" s="14"/>
      <c r="U29" s="49"/>
      <c r="V29" s="14"/>
      <c r="W29" s="49"/>
      <c r="X29" s="14"/>
      <c r="Y29" s="49"/>
      <c r="Z29" s="14"/>
      <c r="AA29" s="49"/>
      <c r="AD29" s="1"/>
      <c r="AE29" s="1"/>
    </row>
    <row r="32" spans="1:31" x14ac:dyDescent="0.25">
      <c r="A32"/>
      <c r="B32"/>
      <c r="E32" s="15">
        <f>E28</f>
        <v>118.7526</v>
      </c>
      <c r="F32" s="15">
        <f t="shared" ref="F32:AA32" si="11">F28</f>
        <v>0</v>
      </c>
      <c r="G32" s="15">
        <f t="shared" si="11"/>
        <v>84.750449999999987</v>
      </c>
      <c r="H32" s="15">
        <f t="shared" si="11"/>
        <v>0</v>
      </c>
      <c r="I32" s="15">
        <f t="shared" si="11"/>
        <v>328.15684999999996</v>
      </c>
      <c r="J32" s="15">
        <f t="shared" si="11"/>
        <v>0</v>
      </c>
      <c r="K32" s="15">
        <f t="shared" si="11"/>
        <v>18.020200000000003</v>
      </c>
      <c r="L32" s="15">
        <f t="shared" si="11"/>
        <v>0</v>
      </c>
      <c r="M32" s="15">
        <f t="shared" si="11"/>
        <v>738.67550000000006</v>
      </c>
      <c r="N32" s="15">
        <f t="shared" si="11"/>
        <v>0</v>
      </c>
      <c r="O32" s="15">
        <f t="shared" si="11"/>
        <v>38.630649999999996</v>
      </c>
      <c r="P32" s="15">
        <f t="shared" si="11"/>
        <v>0</v>
      </c>
      <c r="Q32" s="15">
        <f t="shared" si="11"/>
        <v>707.24180000000001</v>
      </c>
      <c r="R32" s="15">
        <f t="shared" si="11"/>
        <v>0</v>
      </c>
      <c r="S32" s="15">
        <f t="shared" si="11"/>
        <v>521.71129999999994</v>
      </c>
      <c r="T32" s="15">
        <f t="shared" si="11"/>
        <v>0</v>
      </c>
      <c r="U32" s="15">
        <f t="shared" si="11"/>
        <v>183.59040000000002</v>
      </c>
      <c r="V32" s="15">
        <f t="shared" si="11"/>
        <v>0</v>
      </c>
      <c r="W32" s="15">
        <f t="shared" si="11"/>
        <v>105.21224999999997</v>
      </c>
      <c r="X32" s="15">
        <f t="shared" si="11"/>
        <v>0</v>
      </c>
      <c r="Y32" s="15">
        <f t="shared" si="11"/>
        <v>62.7821</v>
      </c>
      <c r="Z32" s="15">
        <f t="shared" si="11"/>
        <v>0</v>
      </c>
      <c r="AA32" s="15">
        <f t="shared" si="11"/>
        <v>941.53284999999994</v>
      </c>
    </row>
    <row r="33" spans="1:31" x14ac:dyDescent="0.25">
      <c r="A33"/>
      <c r="B33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31" x14ac:dyDescent="0.25">
      <c r="I34" s="1" t="s">
        <v>32</v>
      </c>
      <c r="J34" s="35" t="s">
        <v>59</v>
      </c>
      <c r="K34" s="1" t="s">
        <v>55</v>
      </c>
      <c r="L34" s="1" t="s">
        <v>56</v>
      </c>
      <c r="M34" s="34" t="s">
        <v>57</v>
      </c>
      <c r="N34" s="1" t="s">
        <v>58</v>
      </c>
    </row>
    <row r="35" spans="1:31" x14ac:dyDescent="0.25">
      <c r="A35" s="28" t="s">
        <v>43</v>
      </c>
      <c r="I35" s="15">
        <f>10.14*0.3</f>
        <v>3.0420000000000003</v>
      </c>
      <c r="J35" s="35">
        <v>0.3</v>
      </c>
      <c r="K35" s="1">
        <f>0.73*J35</f>
        <v>0.219</v>
      </c>
      <c r="L35" s="1">
        <f>9.88*J35</f>
        <v>2.964</v>
      </c>
      <c r="M35" s="1">
        <f>9.88*2+17.14*J35</f>
        <v>24.902000000000001</v>
      </c>
      <c r="N35" s="1">
        <f>9.88*2</f>
        <v>19.760000000000002</v>
      </c>
    </row>
    <row r="36" spans="1:31" x14ac:dyDescent="0.25">
      <c r="A36" s="28" t="s">
        <v>37</v>
      </c>
      <c r="I36" s="15">
        <f>9.59*0.3</f>
        <v>2.8769999999999998</v>
      </c>
      <c r="J36" s="35">
        <v>0.3</v>
      </c>
      <c r="K36" s="1">
        <f>1.1*J36</f>
        <v>0.33</v>
      </c>
      <c r="L36" s="1">
        <f>12.7*J36</f>
        <v>3.8099999999999996</v>
      </c>
      <c r="M36" s="1">
        <f>12.7*2+25.26*J36</f>
        <v>32.978000000000002</v>
      </c>
      <c r="N36" s="1">
        <f>12.7*2</f>
        <v>25.4</v>
      </c>
    </row>
    <row r="37" spans="1:31" x14ac:dyDescent="0.25">
      <c r="A37" s="28" t="s">
        <v>38</v>
      </c>
      <c r="I37" s="15">
        <f>8.21*0.3</f>
        <v>2.4630000000000001</v>
      </c>
      <c r="J37" s="35">
        <v>0.3</v>
      </c>
      <c r="K37" s="1">
        <f>0.9*J37</f>
        <v>0.27</v>
      </c>
      <c r="L37" s="1">
        <f>9.9*J37</f>
        <v>2.97</v>
      </c>
      <c r="M37" s="1">
        <f>9.9*2+20.84*J37</f>
        <v>26.052</v>
      </c>
      <c r="N37" s="1">
        <f>9.9*2</f>
        <v>19.8</v>
      </c>
    </row>
    <row r="38" spans="1:31" x14ac:dyDescent="0.25">
      <c r="A38" s="28" t="s">
        <v>39</v>
      </c>
      <c r="I38" s="15">
        <f>7.62*0.3</f>
        <v>2.286</v>
      </c>
      <c r="J38" s="35">
        <v>0.3</v>
      </c>
      <c r="K38" s="1">
        <f>0.82*J38</f>
        <v>0.24599999999999997</v>
      </c>
      <c r="L38" s="1">
        <f>9.02*J38</f>
        <v>2.706</v>
      </c>
      <c r="M38" s="1">
        <f>9.02*2+19.36*J38</f>
        <v>23.847999999999999</v>
      </c>
      <c r="N38" s="1">
        <f>9.02*2</f>
        <v>18.04</v>
      </c>
    </row>
    <row r="39" spans="1:31" x14ac:dyDescent="0.25">
      <c r="A39" s="28" t="s">
        <v>40</v>
      </c>
      <c r="I39" s="15">
        <f>9.89*0.3</f>
        <v>2.9670000000000001</v>
      </c>
      <c r="J39" s="35">
        <v>0.3</v>
      </c>
      <c r="K39" s="1">
        <f>1.1*J39</f>
        <v>0.33</v>
      </c>
      <c r="L39" s="1">
        <f>12.1*J39</f>
        <v>3.63</v>
      </c>
      <c r="M39" s="1">
        <f>12.1*2+25.15*J39</f>
        <v>31.744999999999997</v>
      </c>
      <c r="N39" s="1">
        <f>12.1*2</f>
        <v>24.2</v>
      </c>
    </row>
    <row r="40" spans="1:31" x14ac:dyDescent="0.25">
      <c r="A40" s="28" t="s">
        <v>41</v>
      </c>
      <c r="I40" s="15">
        <f>11.93*0.5</f>
        <v>5.9649999999999999</v>
      </c>
      <c r="J40" s="35">
        <v>0.5</v>
      </c>
      <c r="K40" s="1">
        <f>1.2*J40</f>
        <v>0.6</v>
      </c>
      <c r="L40" s="1">
        <f>14.4*J40</f>
        <v>7.2</v>
      </c>
      <c r="M40" s="1">
        <f>14.4*2+27.35*J40</f>
        <v>42.475000000000001</v>
      </c>
      <c r="N40" s="1">
        <f>14.4*2</f>
        <v>28.8</v>
      </c>
    </row>
    <row r="41" spans="1:31" x14ac:dyDescent="0.25">
      <c r="A41" s="28" t="s">
        <v>42</v>
      </c>
      <c r="I41" s="15">
        <f>1.22*4</f>
        <v>4.88</v>
      </c>
      <c r="J41" s="35"/>
    </row>
    <row r="42" spans="1:31" x14ac:dyDescent="0.25">
      <c r="I42" s="15"/>
      <c r="J42" s="33"/>
    </row>
    <row r="43" spans="1:31" s="30" customFormat="1" x14ac:dyDescent="0.25">
      <c r="I43" s="31">
        <f>I32+I35+I36+I37+I38+I39+I40+I41</f>
        <v>352.63684999999992</v>
      </c>
      <c r="K43" s="30">
        <f>SUM(K35:K42)</f>
        <v>1.9950000000000001</v>
      </c>
      <c r="L43" s="30">
        <f>SUM(L35:L42)</f>
        <v>23.279999999999998</v>
      </c>
      <c r="M43" s="30">
        <f>SUM(M35:M42)</f>
        <v>182</v>
      </c>
      <c r="N43" s="30">
        <f>SUM(N35:N42)</f>
        <v>136</v>
      </c>
      <c r="AD43" s="32"/>
      <c r="AE43" s="32"/>
    </row>
    <row r="44" spans="1:31" s="30" customFormat="1" x14ac:dyDescent="0.25">
      <c r="I44" s="31"/>
      <c r="AD44" s="32"/>
      <c r="AE44" s="32"/>
    </row>
    <row r="45" spans="1:31" s="30" customFormat="1" x14ac:dyDescent="0.25">
      <c r="A45" s="28" t="s">
        <v>97</v>
      </c>
      <c r="G45" s="1">
        <f>3*6</f>
        <v>18</v>
      </c>
      <c r="H45" s="1" t="s">
        <v>76</v>
      </c>
      <c r="I45" s="31"/>
      <c r="AD45" s="32"/>
      <c r="AE45" s="32"/>
    </row>
    <row r="46" spans="1:31" s="30" customFormat="1" x14ac:dyDescent="0.25">
      <c r="A46" s="28"/>
      <c r="G46" s="1"/>
      <c r="H46" s="1"/>
      <c r="I46" s="31"/>
      <c r="AD46" s="32"/>
      <c r="AE46" s="32"/>
    </row>
    <row r="47" spans="1:31" s="30" customFormat="1" x14ac:dyDescent="0.25">
      <c r="A47" s="28" t="s">
        <v>98</v>
      </c>
      <c r="G47" s="1">
        <f>72*2</f>
        <v>144</v>
      </c>
      <c r="H47" s="1" t="s">
        <v>76</v>
      </c>
      <c r="I47" s="31"/>
      <c r="AD47" s="32"/>
      <c r="AE47" s="32"/>
    </row>
    <row r="48" spans="1:31" s="30" customFormat="1" x14ac:dyDescent="0.25">
      <c r="A48" s="28" t="s">
        <v>99</v>
      </c>
      <c r="G48" s="1">
        <f>ROUND(W28/1,0)</f>
        <v>105</v>
      </c>
      <c r="H48" s="1" t="s">
        <v>76</v>
      </c>
      <c r="I48" s="31"/>
      <c r="AD48" s="32"/>
      <c r="AE48" s="32"/>
    </row>
    <row r="49" spans="1:31" s="30" customFormat="1" x14ac:dyDescent="0.25">
      <c r="I49" s="31"/>
      <c r="AD49" s="32"/>
      <c r="AE49" s="32"/>
    </row>
    <row r="50" spans="1:31" x14ac:dyDescent="0.25">
      <c r="G50" s="1" t="s">
        <v>50</v>
      </c>
    </row>
    <row r="51" spans="1:31" x14ac:dyDescent="0.25">
      <c r="A51" s="28" t="s">
        <v>46</v>
      </c>
      <c r="G51" s="1">
        <f>1.2</f>
        <v>1.2</v>
      </c>
      <c r="H51" s="1" t="s">
        <v>47</v>
      </c>
    </row>
    <row r="52" spans="1:31" x14ac:dyDescent="0.25">
      <c r="A52" s="28" t="s">
        <v>48</v>
      </c>
      <c r="G52" s="1">
        <f>2.17*4</f>
        <v>8.68</v>
      </c>
      <c r="H52" s="1" t="s">
        <v>47</v>
      </c>
    </row>
    <row r="53" spans="1:31" x14ac:dyDescent="0.25">
      <c r="A53" s="28" t="s">
        <v>49</v>
      </c>
      <c r="G53" s="15">
        <f>(0.6+0.93)/2*C10</f>
        <v>6.9385500000000002</v>
      </c>
      <c r="H53" s="1" t="s">
        <v>47</v>
      </c>
    </row>
    <row r="56" spans="1:31" x14ac:dyDescent="0.25">
      <c r="A56" s="28" t="s">
        <v>64</v>
      </c>
      <c r="G56" s="1">
        <f>3*0.3</f>
        <v>0.89999999999999991</v>
      </c>
    </row>
    <row r="57" spans="1:31" x14ac:dyDescent="0.25">
      <c r="A57" s="28" t="s">
        <v>51</v>
      </c>
      <c r="G57" s="1">
        <f>5*0.3*0.8</f>
        <v>1.2000000000000002</v>
      </c>
    </row>
    <row r="58" spans="1:31" x14ac:dyDescent="0.25">
      <c r="A58" s="28" t="s">
        <v>52</v>
      </c>
      <c r="G58" s="1">
        <f>5*0.3*0.8</f>
        <v>1.2000000000000002</v>
      </c>
    </row>
    <row r="59" spans="1:31" x14ac:dyDescent="0.25">
      <c r="A59" s="28" t="s">
        <v>53</v>
      </c>
      <c r="G59" s="1">
        <f>5*0.3*0.8</f>
        <v>1.2000000000000002</v>
      </c>
    </row>
    <row r="60" spans="1:31" x14ac:dyDescent="0.25">
      <c r="A60" s="28" t="s">
        <v>54</v>
      </c>
      <c r="G60" s="1">
        <f>5*0.3*0.8</f>
        <v>1.2000000000000002</v>
      </c>
    </row>
    <row r="61" spans="1:31" x14ac:dyDescent="0.25">
      <c r="A61" s="28"/>
      <c r="G61" s="30">
        <f>SUM(G56:G60)</f>
        <v>5.7</v>
      </c>
    </row>
    <row r="62" spans="1:31" x14ac:dyDescent="0.25">
      <c r="A62" s="28"/>
    </row>
    <row r="63" spans="1:31" x14ac:dyDescent="0.25">
      <c r="A63" s="28" t="s">
        <v>81</v>
      </c>
      <c r="H63" s="1">
        <v>450</v>
      </c>
      <c r="I63" s="1" t="s">
        <v>73</v>
      </c>
    </row>
    <row r="64" spans="1:31" x14ac:dyDescent="0.25">
      <c r="A64" s="28" t="s">
        <v>82</v>
      </c>
      <c r="H64" s="1">
        <v>2</v>
      </c>
      <c r="I64" s="1" t="s">
        <v>76</v>
      </c>
    </row>
    <row r="65" spans="1:9" x14ac:dyDescent="0.25">
      <c r="A65" s="28" t="s">
        <v>83</v>
      </c>
      <c r="H65" s="1">
        <v>2</v>
      </c>
      <c r="I65" s="1" t="s">
        <v>76</v>
      </c>
    </row>
    <row r="66" spans="1:9" x14ac:dyDescent="0.25">
      <c r="A66" s="28" t="s">
        <v>84</v>
      </c>
      <c r="H66" s="1">
        <v>1</v>
      </c>
      <c r="I66" s="1" t="s">
        <v>76</v>
      </c>
    </row>
    <row r="67" spans="1:9" x14ac:dyDescent="0.25">
      <c r="A67" s="28" t="s">
        <v>85</v>
      </c>
      <c r="H67" s="1">
        <v>2</v>
      </c>
      <c r="I67" s="1" t="s">
        <v>76</v>
      </c>
    </row>
    <row r="68" spans="1:9" x14ac:dyDescent="0.25">
      <c r="A68" s="28" t="s">
        <v>86</v>
      </c>
      <c r="H68" s="1">
        <v>1</v>
      </c>
      <c r="I68" s="1" t="s">
        <v>76</v>
      </c>
    </row>
    <row r="69" spans="1:9" x14ac:dyDescent="0.25">
      <c r="A69" s="28"/>
    </row>
    <row r="70" spans="1:9" x14ac:dyDescent="0.25">
      <c r="A70" s="28" t="s">
        <v>87</v>
      </c>
      <c r="H70" s="1">
        <v>1</v>
      </c>
      <c r="I70" s="1" t="s">
        <v>66</v>
      </c>
    </row>
    <row r="71" spans="1:9" x14ac:dyDescent="0.25">
      <c r="A71" s="28"/>
    </row>
    <row r="72" spans="1:9" x14ac:dyDescent="0.25">
      <c r="A72" s="28"/>
    </row>
    <row r="73" spans="1:9" x14ac:dyDescent="0.25">
      <c r="A73" s="28"/>
    </row>
    <row r="74" spans="1:9" x14ac:dyDescent="0.25">
      <c r="A74" s="28"/>
    </row>
  </sheetData>
  <mergeCells count="29">
    <mergeCell ref="H2:I2"/>
    <mergeCell ref="I28:I29"/>
    <mergeCell ref="N2:O2"/>
    <mergeCell ref="O28:O29"/>
    <mergeCell ref="L2:M2"/>
    <mergeCell ref="M28:M29"/>
    <mergeCell ref="J2:K2"/>
    <mergeCell ref="K28:K29"/>
    <mergeCell ref="U28:U29"/>
    <mergeCell ref="R2:S2"/>
    <mergeCell ref="S28:S29"/>
    <mergeCell ref="P2:Q2"/>
    <mergeCell ref="Q28:Q29"/>
    <mergeCell ref="A1:AA1"/>
    <mergeCell ref="A28:C29"/>
    <mergeCell ref="E28:E29"/>
    <mergeCell ref="AA28:AA29"/>
    <mergeCell ref="F2:G2"/>
    <mergeCell ref="G28:G29"/>
    <mergeCell ref="Y28:Y29"/>
    <mergeCell ref="V2:W2"/>
    <mergeCell ref="W28:W29"/>
    <mergeCell ref="X2:Y2"/>
    <mergeCell ref="A2:A4"/>
    <mergeCell ref="B2:B3"/>
    <mergeCell ref="C2:C3"/>
    <mergeCell ref="D2:E2"/>
    <mergeCell ref="Z2:AA2"/>
    <mergeCell ref="T2:U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80" orientation="landscape" r:id="rId1"/>
  <headerFooter alignWithMargins="0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zoomScaleNormal="100" workbookViewId="0">
      <selection activeCell="M29" sqref="M29"/>
    </sheetView>
  </sheetViews>
  <sheetFormatPr defaultRowHeight="15" x14ac:dyDescent="0.25"/>
  <cols>
    <col min="1" max="1" width="5.7109375" style="1" customWidth="1"/>
    <col min="2" max="2" width="7.85546875" style="1" customWidth="1"/>
    <col min="3" max="3" width="6.7109375" style="1" customWidth="1"/>
    <col min="4" max="23" width="8.28515625" style="1" customWidth="1"/>
    <col min="26" max="26" width="8.28515625" style="1" customWidth="1"/>
    <col min="27" max="27" width="10.7109375" style="1" customWidth="1"/>
    <col min="28" max="28" width="8.28515625" style="1" customWidth="1"/>
    <col min="29" max="29" width="10.7109375" style="1" customWidth="1"/>
    <col min="30" max="30" width="8.28515625" style="1" customWidth="1"/>
    <col min="31" max="31" width="10.7109375" style="1" customWidth="1"/>
    <col min="32" max="35" width="8.28515625" style="1" customWidth="1"/>
    <col min="36" max="16384" width="9.140625" style="1"/>
  </cols>
  <sheetData>
    <row r="1" spans="1:25" ht="15.75" thickBot="1" x14ac:dyDescent="0.3">
      <c r="A1" s="40" t="s">
        <v>28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  <c r="U1" s="43"/>
      <c r="X1" s="1"/>
      <c r="Y1" s="1"/>
    </row>
    <row r="2" spans="1:25" ht="33.75" customHeight="1" x14ac:dyDescent="0.25">
      <c r="A2" s="53" t="s">
        <v>0</v>
      </c>
      <c r="B2" s="56" t="s">
        <v>1</v>
      </c>
      <c r="C2" s="58" t="s">
        <v>2</v>
      </c>
      <c r="D2" s="50" t="s">
        <v>12</v>
      </c>
      <c r="E2" s="52"/>
      <c r="F2" s="50" t="s">
        <v>15</v>
      </c>
      <c r="G2" s="52"/>
      <c r="H2" s="50" t="s">
        <v>29</v>
      </c>
      <c r="I2" s="52"/>
      <c r="J2" s="50" t="s">
        <v>19</v>
      </c>
      <c r="K2" s="52"/>
      <c r="L2" s="50" t="s">
        <v>20</v>
      </c>
      <c r="M2" s="52"/>
      <c r="N2" s="50" t="s">
        <v>22</v>
      </c>
      <c r="O2" s="51"/>
      <c r="P2" s="50" t="s">
        <v>30</v>
      </c>
      <c r="Q2" s="51"/>
      <c r="R2" s="50" t="s">
        <v>13</v>
      </c>
      <c r="S2" s="52"/>
      <c r="T2" s="50" t="s">
        <v>14</v>
      </c>
      <c r="U2" s="52"/>
      <c r="X2" s="1"/>
      <c r="Y2" s="1"/>
    </row>
    <row r="3" spans="1:25" x14ac:dyDescent="0.25">
      <c r="A3" s="54"/>
      <c r="B3" s="57"/>
      <c r="C3" s="59"/>
      <c r="D3" s="17" t="s">
        <v>3</v>
      </c>
      <c r="E3" s="18" t="s">
        <v>4</v>
      </c>
      <c r="F3" s="17" t="s">
        <v>3</v>
      </c>
      <c r="G3" s="18" t="s">
        <v>4</v>
      </c>
      <c r="H3" s="17" t="s">
        <v>10</v>
      </c>
      <c r="I3" s="18" t="s">
        <v>3</v>
      </c>
      <c r="J3" s="17" t="s">
        <v>3</v>
      </c>
      <c r="K3" s="18" t="s">
        <v>4</v>
      </c>
      <c r="L3" s="17" t="s">
        <v>3</v>
      </c>
      <c r="M3" s="18" t="s">
        <v>4</v>
      </c>
      <c r="N3" s="17" t="s">
        <v>10</v>
      </c>
      <c r="O3" s="18" t="s">
        <v>3</v>
      </c>
      <c r="P3" s="17" t="s">
        <v>10</v>
      </c>
      <c r="Q3" s="18" t="s">
        <v>3</v>
      </c>
      <c r="R3" s="17" t="s">
        <v>3</v>
      </c>
      <c r="S3" s="18" t="s">
        <v>4</v>
      </c>
      <c r="T3" s="17" t="s">
        <v>10</v>
      </c>
      <c r="U3" s="18" t="s">
        <v>3</v>
      </c>
      <c r="X3" s="1"/>
      <c r="Y3" s="1"/>
    </row>
    <row r="4" spans="1:25" ht="15.75" thickBot="1" x14ac:dyDescent="0.3">
      <c r="A4" s="55"/>
      <c r="B4" s="2" t="s">
        <v>5</v>
      </c>
      <c r="C4" s="3" t="s">
        <v>5</v>
      </c>
      <c r="D4" s="19" t="s">
        <v>6</v>
      </c>
      <c r="E4" s="20" t="s">
        <v>7</v>
      </c>
      <c r="F4" s="19" t="s">
        <v>6</v>
      </c>
      <c r="G4" s="20" t="s">
        <v>7</v>
      </c>
      <c r="H4" s="19" t="s">
        <v>6</v>
      </c>
      <c r="I4" s="20" t="s">
        <v>7</v>
      </c>
      <c r="J4" s="19" t="s">
        <v>11</v>
      </c>
      <c r="K4" s="20" t="s">
        <v>17</v>
      </c>
      <c r="L4" s="19" t="s">
        <v>11</v>
      </c>
      <c r="M4" s="20" t="s">
        <v>17</v>
      </c>
      <c r="N4" s="19" t="s">
        <v>11</v>
      </c>
      <c r="O4" s="20" t="s">
        <v>17</v>
      </c>
      <c r="P4" s="19" t="s">
        <v>6</v>
      </c>
      <c r="Q4" s="20" t="s">
        <v>7</v>
      </c>
      <c r="R4" s="19" t="s">
        <v>6</v>
      </c>
      <c r="S4" s="20" t="s">
        <v>7</v>
      </c>
      <c r="T4" s="19" t="s">
        <v>11</v>
      </c>
      <c r="U4" s="20" t="s">
        <v>17</v>
      </c>
      <c r="X4" s="1"/>
      <c r="Y4" s="1"/>
    </row>
    <row r="5" spans="1:25" ht="15.75" thickTop="1" x14ac:dyDescent="0.25">
      <c r="A5" s="4">
        <v>1</v>
      </c>
      <c r="B5" s="5">
        <v>3.42</v>
      </c>
      <c r="C5" s="6"/>
      <c r="D5" s="21">
        <v>0.51</v>
      </c>
      <c r="E5" s="22"/>
      <c r="F5" s="21">
        <v>0.34</v>
      </c>
      <c r="G5" s="22"/>
      <c r="H5" s="21">
        <v>0</v>
      </c>
      <c r="I5" s="22"/>
      <c r="J5" s="21">
        <v>4.9800000000000004</v>
      </c>
      <c r="K5" s="22"/>
      <c r="L5" s="21">
        <v>0</v>
      </c>
      <c r="M5" s="22"/>
      <c r="N5" s="21">
        <v>4.47</v>
      </c>
      <c r="O5" s="22"/>
      <c r="P5" s="21">
        <v>0.3</v>
      </c>
      <c r="Q5" s="22"/>
      <c r="R5" s="21">
        <v>0.56999999999999995</v>
      </c>
      <c r="S5" s="22"/>
      <c r="T5" s="21">
        <v>5.25</v>
      </c>
      <c r="U5" s="22"/>
      <c r="X5" s="1"/>
      <c r="Y5" s="1"/>
    </row>
    <row r="6" spans="1:25" x14ac:dyDescent="0.25">
      <c r="A6" s="4"/>
      <c r="B6" s="5"/>
      <c r="C6" s="8">
        <f>(B7-B5)</f>
        <v>27.4</v>
      </c>
      <c r="D6" s="21"/>
      <c r="E6" s="9">
        <f>((D5+D7)/2)*$C$6</f>
        <v>15.344000000000001</v>
      </c>
      <c r="F6" s="21"/>
      <c r="G6" s="9">
        <f>((F5+F7)/2)*$C$6</f>
        <v>21.92</v>
      </c>
      <c r="H6" s="21"/>
      <c r="I6" s="9">
        <f>((H5+H7)/2)*$C$6</f>
        <v>29.728999999999999</v>
      </c>
      <c r="J6" s="21"/>
      <c r="K6" s="9">
        <f>((J5+J7)/2)*$C$6</f>
        <v>115.49099999999999</v>
      </c>
      <c r="L6" s="21"/>
      <c r="M6" s="9">
        <f>((L5+L7)/2)*$C$6</f>
        <v>37.126999999999995</v>
      </c>
      <c r="N6" s="21"/>
      <c r="O6" s="9">
        <f>((N5+N7)/2)*$C$6</f>
        <v>125.90299999999999</v>
      </c>
      <c r="P6" s="21"/>
      <c r="Q6" s="9">
        <f>((P5+P7)/2)*$C$6</f>
        <v>8.2199999999999989</v>
      </c>
      <c r="R6" s="21"/>
      <c r="S6" s="9">
        <f>((R5+R7)/2)*$C$6</f>
        <v>19.727999999999998</v>
      </c>
      <c r="T6" s="21"/>
      <c r="U6" s="9">
        <f>((T5+T7)/2)*$C$6</f>
        <v>182.48399999999998</v>
      </c>
      <c r="X6" s="1"/>
      <c r="Y6" s="1"/>
    </row>
    <row r="7" spans="1:25" x14ac:dyDescent="0.25">
      <c r="A7" s="4">
        <v>2</v>
      </c>
      <c r="B7" s="7">
        <v>30.82</v>
      </c>
      <c r="C7" s="6"/>
      <c r="D7" s="21">
        <v>0.61</v>
      </c>
      <c r="E7" s="9"/>
      <c r="F7" s="21">
        <v>1.26</v>
      </c>
      <c r="G7" s="9"/>
      <c r="H7" s="21">
        <v>2.17</v>
      </c>
      <c r="I7" s="9"/>
      <c r="J7" s="21">
        <v>3.45</v>
      </c>
      <c r="K7" s="9"/>
      <c r="L7" s="21">
        <v>2.71</v>
      </c>
      <c r="M7" s="9"/>
      <c r="N7" s="21">
        <v>4.72</v>
      </c>
      <c r="O7" s="9"/>
      <c r="P7" s="21">
        <v>0.3</v>
      </c>
      <c r="Q7" s="9"/>
      <c r="R7" s="21">
        <v>0.87</v>
      </c>
      <c r="S7" s="9"/>
      <c r="T7" s="21">
        <v>8.07</v>
      </c>
      <c r="U7" s="9"/>
      <c r="X7" s="1"/>
      <c r="Y7" s="1"/>
    </row>
    <row r="8" spans="1:25" x14ac:dyDescent="0.25">
      <c r="A8" s="10" t="s">
        <v>8</v>
      </c>
      <c r="B8" s="7"/>
      <c r="C8" s="8">
        <f t="shared" ref="C8:C16" si="0">(B9-B7)</f>
        <v>31.159999999999997</v>
      </c>
      <c r="D8" s="23" t="s">
        <v>8</v>
      </c>
      <c r="E8" s="9">
        <f>((D7+D9)/2)*$C$8</f>
        <v>21.9678</v>
      </c>
      <c r="F8" s="23" t="s">
        <v>8</v>
      </c>
      <c r="G8" s="9">
        <f>((F7+F9)/2)*$C$8</f>
        <v>55.932199999999995</v>
      </c>
      <c r="H8" s="23" t="s">
        <v>8</v>
      </c>
      <c r="I8" s="9">
        <f>((H7+H9)/2)*$C$8</f>
        <v>97.842399999999998</v>
      </c>
      <c r="J8" s="23" t="s">
        <v>8</v>
      </c>
      <c r="K8" s="9">
        <f>((J7+J9)/2)*$C$8</f>
        <v>107.502</v>
      </c>
      <c r="L8" s="23" t="s">
        <v>8</v>
      </c>
      <c r="M8" s="9">
        <f>((L7+L9)/2)*$C$8</f>
        <v>116.07099999999998</v>
      </c>
      <c r="N8" s="23" t="s">
        <v>8</v>
      </c>
      <c r="O8" s="9">
        <f>((N7+N9)/2)*$C$8</f>
        <v>149.72379999999998</v>
      </c>
      <c r="P8" s="23" t="s">
        <v>8</v>
      </c>
      <c r="Q8" s="9">
        <f>((P7+P9)/2)*$C$8</f>
        <v>9.347999999999999</v>
      </c>
      <c r="R8" s="23" t="s">
        <v>8</v>
      </c>
      <c r="S8" s="9">
        <f>((R7+R9)/2)*$C$8</f>
        <v>32.250599999999991</v>
      </c>
      <c r="T8" s="23" t="s">
        <v>8</v>
      </c>
      <c r="U8" s="9">
        <f>((T7+T9)/2)*$C$8</f>
        <v>288.38579999999996</v>
      </c>
      <c r="X8" s="1"/>
      <c r="Y8" s="1"/>
    </row>
    <row r="9" spans="1:25" x14ac:dyDescent="0.25">
      <c r="A9" s="4">
        <v>3</v>
      </c>
      <c r="B9" s="7">
        <v>61.98</v>
      </c>
      <c r="C9" s="8"/>
      <c r="D9" s="21">
        <v>0.8</v>
      </c>
      <c r="E9" s="9"/>
      <c r="F9" s="21">
        <v>2.33</v>
      </c>
      <c r="G9" s="9"/>
      <c r="H9" s="21">
        <v>4.1100000000000003</v>
      </c>
      <c r="I9" s="9"/>
      <c r="J9" s="21">
        <v>3.45</v>
      </c>
      <c r="K9" s="9"/>
      <c r="L9" s="21">
        <v>4.74</v>
      </c>
      <c r="M9" s="9"/>
      <c r="N9" s="21">
        <v>4.8899999999999997</v>
      </c>
      <c r="O9" s="9"/>
      <c r="P9" s="21">
        <v>0.3</v>
      </c>
      <c r="Q9" s="9"/>
      <c r="R9" s="21">
        <v>1.2</v>
      </c>
      <c r="S9" s="9"/>
      <c r="T9" s="21">
        <v>10.44</v>
      </c>
      <c r="U9" s="9"/>
      <c r="X9" s="1"/>
      <c r="Y9" s="1"/>
    </row>
    <row r="10" spans="1:25" x14ac:dyDescent="0.25">
      <c r="A10" s="11"/>
      <c r="B10" s="7"/>
      <c r="C10" s="8">
        <f t="shared" si="0"/>
        <v>28.21</v>
      </c>
      <c r="D10" s="23" t="s">
        <v>8</v>
      </c>
      <c r="E10" s="9">
        <f>((D9+D11)/2)*$C$10</f>
        <v>23.978500000000004</v>
      </c>
      <c r="F10" s="23" t="s">
        <v>8</v>
      </c>
      <c r="G10" s="9">
        <f>((F9+F11)/2)*$C$10</f>
        <v>68.268199999999993</v>
      </c>
      <c r="H10" s="23" t="s">
        <v>8</v>
      </c>
      <c r="I10" s="9">
        <f>((H9+H11)/2)*$C$10</f>
        <v>131.1765</v>
      </c>
      <c r="J10" s="23" t="s">
        <v>8</v>
      </c>
      <c r="K10" s="9">
        <f>((J9+J11)/2)*$C$10</f>
        <v>97.324500000000015</v>
      </c>
      <c r="L10" s="23" t="s">
        <v>8</v>
      </c>
      <c r="M10" s="9">
        <f>((L9+L11)/2)*$C$10</f>
        <v>150.35930000000002</v>
      </c>
      <c r="N10" s="23" t="s">
        <v>8</v>
      </c>
      <c r="O10" s="9">
        <f>((N9+N11)/2)*$C$10</f>
        <v>142.31944999999999</v>
      </c>
      <c r="P10" s="23" t="s">
        <v>8</v>
      </c>
      <c r="Q10" s="9">
        <f>((P9+P11)/2)*$C$10</f>
        <v>8.4629999999999992</v>
      </c>
      <c r="R10" s="23" t="s">
        <v>8</v>
      </c>
      <c r="S10" s="9">
        <f>((R9+R11)/2)*$C$10</f>
        <v>36.249850000000002</v>
      </c>
      <c r="T10" s="23" t="s">
        <v>8</v>
      </c>
      <c r="U10" s="9">
        <f>((T9+T11)/2)*$C$10</f>
        <v>309.88684999999998</v>
      </c>
      <c r="X10" s="1"/>
      <c r="Y10" s="1"/>
    </row>
    <row r="11" spans="1:25" x14ac:dyDescent="0.25">
      <c r="A11" s="4">
        <v>4</v>
      </c>
      <c r="B11" s="7">
        <v>90.19</v>
      </c>
      <c r="C11" s="8"/>
      <c r="D11" s="21">
        <v>0.9</v>
      </c>
      <c r="E11" s="9"/>
      <c r="F11" s="21">
        <v>2.5099999999999998</v>
      </c>
      <c r="G11" s="9"/>
      <c r="H11" s="21">
        <v>5.19</v>
      </c>
      <c r="I11" s="9"/>
      <c r="J11" s="21">
        <v>3.45</v>
      </c>
      <c r="K11" s="9"/>
      <c r="L11" s="21">
        <v>5.92</v>
      </c>
      <c r="M11" s="9"/>
      <c r="N11" s="21">
        <v>5.2</v>
      </c>
      <c r="O11" s="9"/>
      <c r="P11" s="21">
        <v>0.3</v>
      </c>
      <c r="Q11" s="9"/>
      <c r="R11" s="21">
        <v>1.37</v>
      </c>
      <c r="S11" s="9"/>
      <c r="T11" s="21">
        <v>11.53</v>
      </c>
      <c r="U11" s="9"/>
      <c r="X11" s="1"/>
      <c r="Y11" s="1"/>
    </row>
    <row r="12" spans="1:25" x14ac:dyDescent="0.25">
      <c r="A12" s="10"/>
      <c r="B12" s="16"/>
      <c r="C12" s="8">
        <f t="shared" si="0"/>
        <v>17.560000000000002</v>
      </c>
      <c r="D12" s="23"/>
      <c r="E12" s="9">
        <f>((D11+D13)/2)*$C$12</f>
        <v>17.911200000000001</v>
      </c>
      <c r="F12" s="23"/>
      <c r="G12" s="9">
        <f>((F11+F13)/2)*$C$12</f>
        <v>68.132800000000003</v>
      </c>
      <c r="H12" s="23"/>
      <c r="I12" s="9">
        <f>((H11+H13)/2)*$C$12</f>
        <v>118.17880000000002</v>
      </c>
      <c r="J12" s="23"/>
      <c r="K12" s="9">
        <f>((J11+J13)/2)*$C$12</f>
        <v>60.582000000000008</v>
      </c>
      <c r="L12" s="23"/>
      <c r="M12" s="9">
        <f>((L11+L13)/2)*$C$12</f>
        <v>126.87100000000001</v>
      </c>
      <c r="N12" s="23"/>
      <c r="O12" s="9">
        <f>((N11+N13)/2)*$C$12</f>
        <v>89.029200000000017</v>
      </c>
      <c r="P12" s="23"/>
      <c r="Q12" s="9">
        <f>((P11+P13)/2)*$C$12</f>
        <v>5.2680000000000007</v>
      </c>
      <c r="R12" s="23"/>
      <c r="S12" s="9">
        <f>((R11+R13)/2)*$C$12</f>
        <v>26.866800000000005</v>
      </c>
      <c r="T12" s="23"/>
      <c r="U12" s="9">
        <f>((T11+T13)/2)*$C$12</f>
        <v>216.07580000000002</v>
      </c>
      <c r="X12" s="1"/>
      <c r="Y12" s="1"/>
    </row>
    <row r="13" spans="1:25" x14ac:dyDescent="0.25">
      <c r="A13" s="4">
        <v>5</v>
      </c>
      <c r="B13" s="5">
        <v>107.75</v>
      </c>
      <c r="C13" s="8"/>
      <c r="D13" s="21">
        <v>1.1399999999999999</v>
      </c>
      <c r="E13" s="9"/>
      <c r="F13" s="21">
        <v>5.25</v>
      </c>
      <c r="G13" s="9"/>
      <c r="H13" s="21">
        <v>8.27</v>
      </c>
      <c r="I13" s="9"/>
      <c r="J13" s="21">
        <v>3.45</v>
      </c>
      <c r="K13" s="9"/>
      <c r="L13" s="21">
        <v>8.5299999999999994</v>
      </c>
      <c r="M13" s="9"/>
      <c r="N13" s="21">
        <v>4.9400000000000004</v>
      </c>
      <c r="O13" s="9"/>
      <c r="P13" s="21">
        <v>0.3</v>
      </c>
      <c r="Q13" s="9"/>
      <c r="R13" s="21">
        <v>1.69</v>
      </c>
      <c r="S13" s="9"/>
      <c r="T13" s="21">
        <v>13.08</v>
      </c>
      <c r="U13" s="9"/>
      <c r="X13" s="1"/>
      <c r="Y13" s="1"/>
    </row>
    <row r="14" spans="1:25" x14ac:dyDescent="0.25">
      <c r="A14" s="10"/>
      <c r="B14" s="5"/>
      <c r="C14" s="8">
        <f t="shared" si="0"/>
        <v>22.449999999999989</v>
      </c>
      <c r="D14" s="23"/>
      <c r="E14" s="9">
        <f>((D13+D15)/2)*$C$14</f>
        <v>18.296749999999989</v>
      </c>
      <c r="F14" s="23"/>
      <c r="G14" s="9">
        <f>((F13+F15)/2)*$C$14</f>
        <v>65.441749999999971</v>
      </c>
      <c r="H14" s="23"/>
      <c r="I14" s="9">
        <f>((H13+H15)/2)*$C$14</f>
        <v>107.53549999999994</v>
      </c>
      <c r="J14" s="23"/>
      <c r="K14" s="9">
        <f>((J13+J15)/2)*$C$14</f>
        <v>77.452499999999958</v>
      </c>
      <c r="L14" s="23"/>
      <c r="M14" s="9">
        <f>((L13+L15)/2)*$C$14</f>
        <v>111.57649999999994</v>
      </c>
      <c r="N14" s="23"/>
      <c r="O14" s="9">
        <f>((N13+N15)/2)*$C$14</f>
        <v>107.31099999999995</v>
      </c>
      <c r="P14" s="23"/>
      <c r="Q14" s="9">
        <f>((P13+P15)/2)*$C$14</f>
        <v>6.7349999999999968</v>
      </c>
      <c r="R14" s="23"/>
      <c r="S14" s="9">
        <f>((R13+R15)/2)*$C$14</f>
        <v>26.939999999999987</v>
      </c>
      <c r="T14" s="23"/>
      <c r="U14" s="9">
        <f>((T13+T15)/2)*$C$14</f>
        <v>226.85724999999991</v>
      </c>
      <c r="X14" s="1"/>
      <c r="Y14" s="1"/>
    </row>
    <row r="15" spans="1:25" x14ac:dyDescent="0.25">
      <c r="A15" s="4">
        <v>6</v>
      </c>
      <c r="B15" s="5">
        <v>130.19999999999999</v>
      </c>
      <c r="C15" s="8"/>
      <c r="D15" s="21">
        <v>0.49</v>
      </c>
      <c r="E15" s="9"/>
      <c r="F15" s="21">
        <v>0.57999999999999996</v>
      </c>
      <c r="G15" s="9"/>
      <c r="H15" s="21">
        <v>1.31</v>
      </c>
      <c r="I15" s="9"/>
      <c r="J15" s="21">
        <v>3.45</v>
      </c>
      <c r="K15" s="9"/>
      <c r="L15" s="21">
        <v>1.41</v>
      </c>
      <c r="M15" s="9"/>
      <c r="N15" s="21">
        <v>4.62</v>
      </c>
      <c r="O15" s="9"/>
      <c r="P15" s="21">
        <v>0.3</v>
      </c>
      <c r="Q15" s="9"/>
      <c r="R15" s="21">
        <v>0.71</v>
      </c>
      <c r="S15" s="9"/>
      <c r="T15" s="21">
        <v>7.13</v>
      </c>
      <c r="U15" s="9"/>
      <c r="X15" s="1"/>
      <c r="Y15" s="1"/>
    </row>
    <row r="16" spans="1:25" x14ac:dyDescent="0.25">
      <c r="A16" s="10"/>
      <c r="B16" s="5"/>
      <c r="C16" s="8">
        <f t="shared" si="0"/>
        <v>19.300000000000011</v>
      </c>
      <c r="D16" s="23"/>
      <c r="E16" s="9">
        <f>((D15+D17)/2)*$C$16</f>
        <v>8.1060000000000052</v>
      </c>
      <c r="F16" s="23"/>
      <c r="G16" s="9">
        <f>((F15+F17)/2)*$C$16</f>
        <v>7.1410000000000045</v>
      </c>
      <c r="H16" s="23"/>
      <c r="I16" s="9">
        <f>((H15+H17)/2)*$C$16</f>
        <v>12.641500000000008</v>
      </c>
      <c r="J16" s="23"/>
      <c r="K16" s="9">
        <f>((J15+J17)/2)*$C$16</f>
        <v>65.427000000000035</v>
      </c>
      <c r="L16" s="23"/>
      <c r="M16" s="9">
        <f>((L15+L17)/2)*$C$16</f>
        <v>13.606500000000008</v>
      </c>
      <c r="N16" s="23"/>
      <c r="O16" s="9">
        <f>((N15+N17)/2)*$C$16</f>
        <v>76.717500000000044</v>
      </c>
      <c r="P16" s="23"/>
      <c r="Q16" s="9">
        <f>((P15+P17)/2)*$C$16</f>
        <v>5.7900000000000036</v>
      </c>
      <c r="R16" s="23"/>
      <c r="S16" s="9">
        <f>((R15+R17)/2)*$C$16</f>
        <v>9.939500000000006</v>
      </c>
      <c r="T16" s="23"/>
      <c r="U16" s="9">
        <f>((T15+T17)/2)*$C$16</f>
        <v>103.54450000000007</v>
      </c>
      <c r="X16" s="1"/>
      <c r="Y16" s="1"/>
    </row>
    <row r="17" spans="1:31" ht="15.75" thickBot="1" x14ac:dyDescent="0.3">
      <c r="A17" s="10">
        <v>7</v>
      </c>
      <c r="B17" s="5">
        <v>149.5</v>
      </c>
      <c r="C17" s="12"/>
      <c r="D17" s="21">
        <v>0.35</v>
      </c>
      <c r="E17" s="24"/>
      <c r="F17" s="21">
        <v>0.16</v>
      </c>
      <c r="G17" s="24"/>
      <c r="H17" s="21">
        <v>0</v>
      </c>
      <c r="I17" s="24"/>
      <c r="J17" s="21">
        <v>3.33</v>
      </c>
      <c r="K17" s="24"/>
      <c r="L17" s="21">
        <v>0</v>
      </c>
      <c r="M17" s="24"/>
      <c r="N17" s="21">
        <v>3.33</v>
      </c>
      <c r="O17" s="24"/>
      <c r="P17" s="21">
        <v>0.3</v>
      </c>
      <c r="Q17" s="24"/>
      <c r="R17" s="21">
        <v>0.32</v>
      </c>
      <c r="S17" s="24"/>
      <c r="T17" s="21">
        <v>3.6</v>
      </c>
      <c r="U17" s="24"/>
      <c r="X17" s="1"/>
      <c r="Y17" s="1"/>
    </row>
    <row r="18" spans="1:31" ht="15" customHeight="1" x14ac:dyDescent="0.25">
      <c r="A18" s="44" t="s">
        <v>9</v>
      </c>
      <c r="B18" s="45"/>
      <c r="C18" s="45"/>
      <c r="D18" s="13"/>
      <c r="E18" s="48">
        <f>SUM(E5:E17)</f>
        <v>105.60425000000001</v>
      </c>
      <c r="F18" s="13"/>
      <c r="G18" s="48">
        <f>SUM(G5:G17)</f>
        <v>286.83594999999997</v>
      </c>
      <c r="H18" s="13"/>
      <c r="I18" s="48">
        <f>SUM(I5:I17)</f>
        <v>497.1037</v>
      </c>
      <c r="J18" s="13"/>
      <c r="K18" s="48">
        <f>SUM(K5:K17)</f>
        <v>523.779</v>
      </c>
      <c r="L18" s="13"/>
      <c r="M18" s="48">
        <f>SUM(M5:M17)</f>
        <v>555.61129999999991</v>
      </c>
      <c r="N18" s="13"/>
      <c r="O18" s="48">
        <f>SUM(O5:O17)</f>
        <v>691.00395000000003</v>
      </c>
      <c r="P18" s="13"/>
      <c r="Q18" s="48">
        <f>SUM(Q5:Q17)</f>
        <v>43.824000000000005</v>
      </c>
      <c r="R18" s="13"/>
      <c r="S18" s="48">
        <f>SUM(S5:S17)</f>
        <v>151.97475</v>
      </c>
      <c r="T18" s="13"/>
      <c r="U18" s="60">
        <f>SUM(U5:U17)</f>
        <v>1327.2341999999999</v>
      </c>
      <c r="X18" s="1"/>
      <c r="Y18" s="1"/>
    </row>
    <row r="19" spans="1:31" ht="15.75" customHeight="1" thickBot="1" x14ac:dyDescent="0.3">
      <c r="A19" s="46"/>
      <c r="B19" s="47"/>
      <c r="C19" s="47"/>
      <c r="D19" s="14"/>
      <c r="E19" s="49"/>
      <c r="F19" s="14"/>
      <c r="G19" s="49"/>
      <c r="H19" s="14"/>
      <c r="I19" s="49"/>
      <c r="J19" s="14"/>
      <c r="K19" s="49"/>
      <c r="L19" s="14"/>
      <c r="M19" s="49"/>
      <c r="N19" s="14"/>
      <c r="O19" s="49"/>
      <c r="P19" s="14"/>
      <c r="Q19" s="49"/>
      <c r="R19" s="14"/>
      <c r="S19" s="49"/>
      <c r="T19" s="14"/>
      <c r="U19" s="61"/>
      <c r="X19" s="1"/>
      <c r="Y19" s="1"/>
    </row>
    <row r="22" spans="1:31" x14ac:dyDescent="0.25">
      <c r="A22"/>
      <c r="B22"/>
      <c r="E22" s="15">
        <f>E18</f>
        <v>105.60425000000001</v>
      </c>
      <c r="F22" s="15">
        <f t="shared" ref="F22:U22" si="1">F18</f>
        <v>0</v>
      </c>
      <c r="G22" s="15">
        <f t="shared" si="1"/>
        <v>286.83594999999997</v>
      </c>
      <c r="H22" s="15">
        <f t="shared" si="1"/>
        <v>0</v>
      </c>
      <c r="I22" s="15">
        <f t="shared" si="1"/>
        <v>497.1037</v>
      </c>
      <c r="J22" s="15">
        <f t="shared" si="1"/>
        <v>0</v>
      </c>
      <c r="K22" s="15">
        <f t="shared" si="1"/>
        <v>523.779</v>
      </c>
      <c r="L22" s="15">
        <f t="shared" si="1"/>
        <v>0</v>
      </c>
      <c r="M22" s="15">
        <f t="shared" si="1"/>
        <v>555.61129999999991</v>
      </c>
      <c r="N22" s="15">
        <f t="shared" si="1"/>
        <v>0</v>
      </c>
      <c r="O22" s="15">
        <f t="shared" si="1"/>
        <v>691.00395000000003</v>
      </c>
      <c r="P22" s="15">
        <f t="shared" si="1"/>
        <v>0</v>
      </c>
      <c r="Q22" s="15">
        <f t="shared" si="1"/>
        <v>43.824000000000005</v>
      </c>
      <c r="R22" s="15">
        <f t="shared" si="1"/>
        <v>0</v>
      </c>
      <c r="S22" s="15">
        <f t="shared" si="1"/>
        <v>151.97475</v>
      </c>
      <c r="T22" s="15">
        <f t="shared" si="1"/>
        <v>0</v>
      </c>
      <c r="U22" s="15">
        <f t="shared" si="1"/>
        <v>1327.2341999999999</v>
      </c>
    </row>
    <row r="25" spans="1:31" x14ac:dyDescent="0.25">
      <c r="J25" s="35"/>
      <c r="L25" s="1" t="s">
        <v>56</v>
      </c>
      <c r="M25" s="34" t="s">
        <v>61</v>
      </c>
      <c r="N25" s="1" t="s">
        <v>58</v>
      </c>
      <c r="O25" s="39" t="s">
        <v>101</v>
      </c>
      <c r="X25" s="1"/>
      <c r="Y25" s="1"/>
      <c r="AD25"/>
      <c r="AE25"/>
    </row>
    <row r="26" spans="1:31" x14ac:dyDescent="0.25">
      <c r="A26" s="28" t="s">
        <v>60</v>
      </c>
      <c r="I26" s="15"/>
      <c r="J26" s="35"/>
      <c r="L26" s="1">
        <f>0.075*5.4</f>
        <v>0.40500000000000003</v>
      </c>
      <c r="M26" s="1">
        <f>0.44*5.4</f>
        <v>2.3760000000000003</v>
      </c>
      <c r="N26" s="1">
        <f>0.7*6+0.7*4.8</f>
        <v>7.5599999999999987</v>
      </c>
      <c r="O26" s="36">
        <f>5.4/0.4</f>
        <v>13.5</v>
      </c>
      <c r="X26" s="1"/>
      <c r="Y26" s="1"/>
      <c r="AD26"/>
      <c r="AE26"/>
    </row>
    <row r="28" spans="1:31" x14ac:dyDescent="0.25">
      <c r="A28" s="28" t="s">
        <v>103</v>
      </c>
      <c r="L28" s="1">
        <v>1</v>
      </c>
      <c r="M28" s="1" t="s">
        <v>66</v>
      </c>
    </row>
    <row r="30" spans="1:31" x14ac:dyDescent="0.25">
      <c r="A30" s="28" t="s">
        <v>102</v>
      </c>
      <c r="L30" s="1">
        <v>0.9</v>
      </c>
      <c r="M30" s="1" t="s">
        <v>73</v>
      </c>
    </row>
    <row r="32" spans="1:31" x14ac:dyDescent="0.25">
      <c r="L32" s="1" t="s">
        <v>63</v>
      </c>
    </row>
    <row r="33" spans="1:12" x14ac:dyDescent="0.25">
      <c r="A33" s="28" t="s">
        <v>62</v>
      </c>
      <c r="L33" s="1">
        <f>(0.5+1+0.5)*0.25*0.5</f>
        <v>0.25</v>
      </c>
    </row>
  </sheetData>
  <mergeCells count="23">
    <mergeCell ref="N2:O2"/>
    <mergeCell ref="P2:Q2"/>
    <mergeCell ref="R2:S2"/>
    <mergeCell ref="T2:U2"/>
    <mergeCell ref="A1:U1"/>
    <mergeCell ref="A2:A4"/>
    <mergeCell ref="B2:B3"/>
    <mergeCell ref="C2:C3"/>
    <mergeCell ref="D2:E2"/>
    <mergeCell ref="F2:G2"/>
    <mergeCell ref="H2:I2"/>
    <mergeCell ref="J2:K2"/>
    <mergeCell ref="L2:M2"/>
    <mergeCell ref="A18:C19"/>
    <mergeCell ref="E18:E19"/>
    <mergeCell ref="G18:G19"/>
    <mergeCell ref="I18:I19"/>
    <mergeCell ref="K18:K19"/>
    <mergeCell ref="U18:U19"/>
    <mergeCell ref="M18:M19"/>
    <mergeCell ref="O18:O19"/>
    <mergeCell ref="Q18:Q19"/>
    <mergeCell ref="S18:S19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workbookViewId="0">
      <selection activeCell="D14" sqref="D14"/>
    </sheetView>
  </sheetViews>
  <sheetFormatPr defaultRowHeight="15" x14ac:dyDescent="0.25"/>
  <cols>
    <col min="1" max="1" width="12.85546875" bestFit="1" customWidth="1"/>
    <col min="2" max="2" width="11.85546875" bestFit="1" customWidth="1"/>
    <col min="3" max="3" width="11.85546875" customWidth="1"/>
    <col min="4" max="4" width="11.85546875" bestFit="1" customWidth="1"/>
  </cols>
  <sheetData>
    <row r="2" spans="1:5" x14ac:dyDescent="0.25">
      <c r="B2" t="s">
        <v>31</v>
      </c>
      <c r="C2" t="s">
        <v>34</v>
      </c>
      <c r="D2" t="s">
        <v>9</v>
      </c>
    </row>
    <row r="3" spans="1:5" ht="15.75" x14ac:dyDescent="0.25">
      <c r="A3" t="s">
        <v>35</v>
      </c>
      <c r="B3" s="25">
        <f>'SO 01'!E32</f>
        <v>118.7526</v>
      </c>
      <c r="C3" s="25">
        <f>'SO 02'!E22</f>
        <v>105.60425000000001</v>
      </c>
      <c r="D3" s="26">
        <f t="shared" ref="D3:D4" si="0">SUM(B3:C3)</f>
        <v>224.35685000000001</v>
      </c>
      <c r="E3" s="27"/>
    </row>
    <row r="4" spans="1:5" ht="15.75" x14ac:dyDescent="0.25">
      <c r="A4" t="s">
        <v>36</v>
      </c>
      <c r="B4" s="25">
        <f>'SO 01'!Y32</f>
        <v>62.7821</v>
      </c>
      <c r="C4" s="25">
        <f>'SO 02'!S22</f>
        <v>151.97475</v>
      </c>
      <c r="D4" s="26">
        <f t="shared" si="0"/>
        <v>214.75684999999999</v>
      </c>
      <c r="E4" s="27"/>
    </row>
    <row r="5" spans="1:5" ht="15.75" x14ac:dyDescent="0.25">
      <c r="A5" t="s">
        <v>9</v>
      </c>
      <c r="B5" s="25"/>
      <c r="C5" s="25"/>
      <c r="D5" s="27">
        <f>D3-D4</f>
        <v>9.6000000000000227</v>
      </c>
      <c r="E5" s="27"/>
    </row>
    <row r="6" spans="1:5" ht="15.75" x14ac:dyDescent="0.25">
      <c r="B6" s="25"/>
      <c r="C6" s="25"/>
      <c r="D6" s="26"/>
      <c r="E6" s="27"/>
    </row>
    <row r="7" spans="1:5" x14ac:dyDescent="0.25">
      <c r="A7" t="s">
        <v>32</v>
      </c>
      <c r="B7" s="25">
        <f>'SO 01'!I43</f>
        <v>352.63684999999992</v>
      </c>
      <c r="C7" s="25">
        <f>'SO 02'!G22</f>
        <v>286.83594999999997</v>
      </c>
      <c r="D7" s="26">
        <f t="shared" ref="D7:D8" si="1">SUM(B7:C7)</f>
        <v>639.47279999999989</v>
      </c>
    </row>
    <row r="8" spans="1:5" x14ac:dyDescent="0.25">
      <c r="A8" t="s">
        <v>33</v>
      </c>
      <c r="B8" s="25">
        <f>'SO 01'!K32</f>
        <v>18.020200000000003</v>
      </c>
      <c r="C8" s="25">
        <f>'SO 02'!I22</f>
        <v>497.1037</v>
      </c>
      <c r="D8" s="26">
        <f t="shared" si="1"/>
        <v>515.12390000000005</v>
      </c>
    </row>
    <row r="9" spans="1:5" ht="15.75" x14ac:dyDescent="0.25">
      <c r="A9" t="s">
        <v>9</v>
      </c>
      <c r="D9" s="27">
        <f>D7-D8</f>
        <v>124.34889999999984</v>
      </c>
    </row>
    <row r="11" spans="1:5" x14ac:dyDescent="0.25">
      <c r="A11" t="s">
        <v>45</v>
      </c>
      <c r="D11" s="25">
        <f>'SO 01'!U32*0.2+'SO 01'!G52*0.2</f>
        <v>38.454080000000005</v>
      </c>
    </row>
    <row r="14" spans="1:5" ht="15.75" x14ac:dyDescent="0.25">
      <c r="A14" t="s">
        <v>44</v>
      </c>
      <c r="D14" s="29">
        <f>D9-D11</f>
        <v>85.894819999999839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P30" sqref="P30"/>
    </sheetView>
  </sheetViews>
  <sheetFormatPr defaultRowHeight="15" x14ac:dyDescent="0.25"/>
  <cols>
    <col min="1" max="1" width="70.140625" customWidth="1"/>
  </cols>
  <sheetData>
    <row r="1" spans="1:11" x14ac:dyDescent="0.25">
      <c r="A1" t="s">
        <v>65</v>
      </c>
      <c r="B1">
        <v>1</v>
      </c>
      <c r="C1" t="s">
        <v>66</v>
      </c>
    </row>
    <row r="3" spans="1:11" x14ac:dyDescent="0.25">
      <c r="A3" s="37" t="s">
        <v>67</v>
      </c>
      <c r="B3">
        <v>1</v>
      </c>
      <c r="C3" t="s">
        <v>66</v>
      </c>
    </row>
    <row r="5" spans="1:11" x14ac:dyDescent="0.25">
      <c r="A5" t="s">
        <v>69</v>
      </c>
      <c r="B5">
        <v>1</v>
      </c>
      <c r="C5" t="s">
        <v>66</v>
      </c>
    </row>
    <row r="7" spans="1:11" x14ac:dyDescent="0.25">
      <c r="A7" s="37" t="s">
        <v>68</v>
      </c>
      <c r="B7">
        <v>1</v>
      </c>
      <c r="C7" t="s">
        <v>66</v>
      </c>
    </row>
    <row r="9" spans="1:11" x14ac:dyDescent="0.25">
      <c r="A9" t="s">
        <v>70</v>
      </c>
      <c r="B9">
        <v>1</v>
      </c>
      <c r="C9" t="s">
        <v>66</v>
      </c>
    </row>
    <row r="10" spans="1:11" x14ac:dyDescent="0.25">
      <c r="A10" s="38" t="s">
        <v>71</v>
      </c>
      <c r="B10" s="38">
        <v>5</v>
      </c>
      <c r="C10" s="38" t="s">
        <v>47</v>
      </c>
    </row>
    <row r="11" spans="1:11" x14ac:dyDescent="0.25">
      <c r="A11" s="38" t="s">
        <v>72</v>
      </c>
      <c r="B11" s="38">
        <v>14</v>
      </c>
      <c r="C11" s="38" t="s">
        <v>73</v>
      </c>
    </row>
    <row r="12" spans="1:11" x14ac:dyDescent="0.25">
      <c r="A12" s="38"/>
      <c r="B12" s="38">
        <v>1.4</v>
      </c>
      <c r="C12" s="38" t="s">
        <v>47</v>
      </c>
      <c r="D12" s="62"/>
      <c r="E12" s="62"/>
      <c r="F12" s="62"/>
      <c r="G12" s="62"/>
      <c r="H12" s="62"/>
      <c r="I12" s="62"/>
      <c r="J12" s="62"/>
      <c r="K12" s="62"/>
    </row>
    <row r="13" spans="1:11" x14ac:dyDescent="0.25">
      <c r="A13" s="38" t="s">
        <v>74</v>
      </c>
      <c r="B13" s="38">
        <v>0.7</v>
      </c>
      <c r="C13" s="38" t="s">
        <v>47</v>
      </c>
      <c r="D13" s="62"/>
      <c r="E13" s="62"/>
      <c r="F13" s="62"/>
      <c r="G13" s="62"/>
      <c r="H13" s="62"/>
      <c r="I13" s="62"/>
      <c r="J13" s="62"/>
      <c r="K13" s="62"/>
    </row>
    <row r="14" spans="1:11" x14ac:dyDescent="0.25">
      <c r="A14" s="38" t="s">
        <v>75</v>
      </c>
      <c r="B14" s="38">
        <v>3</v>
      </c>
      <c r="C14" s="38" t="s">
        <v>76</v>
      </c>
      <c r="D14" s="62"/>
      <c r="E14" s="62"/>
      <c r="F14" s="62"/>
      <c r="G14" s="62"/>
      <c r="H14" s="62"/>
      <c r="I14" s="62"/>
      <c r="J14" s="62"/>
      <c r="K14" s="62"/>
    </row>
    <row r="15" spans="1:11" x14ac:dyDescent="0.25">
      <c r="A15" s="38" t="s">
        <v>77</v>
      </c>
      <c r="B15" s="38">
        <v>2.7</v>
      </c>
      <c r="C15" s="38" t="s">
        <v>47</v>
      </c>
      <c r="D15" s="62"/>
      <c r="E15" s="62"/>
      <c r="F15" s="62"/>
      <c r="G15" s="62"/>
      <c r="H15" s="62"/>
      <c r="I15" s="62"/>
      <c r="J15" s="62"/>
      <c r="K15" s="62"/>
    </row>
    <row r="16" spans="1:11" x14ac:dyDescent="0.25">
      <c r="D16" s="62"/>
      <c r="E16" s="62"/>
      <c r="F16" s="62"/>
      <c r="G16" s="62"/>
      <c r="H16" s="62"/>
      <c r="I16" s="62"/>
      <c r="J16" s="62"/>
      <c r="K16" s="62"/>
    </row>
    <row r="17" spans="1:11" x14ac:dyDescent="0.25">
      <c r="A17" s="37" t="s">
        <v>78</v>
      </c>
      <c r="B17">
        <v>1</v>
      </c>
      <c r="C17" t="s">
        <v>66</v>
      </c>
      <c r="D17" s="63"/>
      <c r="E17" s="63"/>
      <c r="F17" s="63"/>
      <c r="G17" s="62"/>
      <c r="H17" s="62"/>
      <c r="I17" s="62"/>
      <c r="J17" s="62"/>
      <c r="K17" s="62"/>
    </row>
    <row r="18" spans="1:11" x14ac:dyDescent="0.25">
      <c r="A18" s="37"/>
      <c r="D18" s="63"/>
      <c r="E18" s="63"/>
      <c r="F18" s="63"/>
      <c r="G18" s="62"/>
      <c r="H18" s="62"/>
      <c r="I18" s="62"/>
      <c r="J18" s="62"/>
      <c r="K18" s="62"/>
    </row>
    <row r="19" spans="1:11" x14ac:dyDescent="0.25">
      <c r="A19" s="37" t="s">
        <v>79</v>
      </c>
      <c r="B19">
        <f>10*2</f>
        <v>20</v>
      </c>
      <c r="C19" t="s">
        <v>80</v>
      </c>
      <c r="D19" s="63"/>
      <c r="E19" s="63"/>
      <c r="F19" s="63"/>
      <c r="G19" s="62"/>
      <c r="H19" s="62"/>
      <c r="I19" s="62"/>
      <c r="J19" s="62"/>
      <c r="K19" s="62"/>
    </row>
    <row r="20" spans="1:11" x14ac:dyDescent="0.25">
      <c r="A20" s="37"/>
      <c r="D20" s="63"/>
      <c r="E20" s="63"/>
      <c r="F20" s="63"/>
      <c r="G20" s="62"/>
      <c r="H20" s="62"/>
      <c r="I20" s="62"/>
      <c r="J20" s="62"/>
      <c r="K20" s="62"/>
    </row>
    <row r="21" spans="1:11" ht="45" x14ac:dyDescent="0.25">
      <c r="A21" s="37" t="s">
        <v>88</v>
      </c>
      <c r="B21">
        <v>1</v>
      </c>
      <c r="C21" t="s">
        <v>66</v>
      </c>
      <c r="D21" s="63"/>
      <c r="E21" s="63"/>
      <c r="F21" s="63"/>
      <c r="G21" s="62"/>
      <c r="H21" s="62"/>
      <c r="I21" s="62"/>
      <c r="J21" s="62"/>
      <c r="K21" s="62"/>
    </row>
    <row r="22" spans="1:11" x14ac:dyDescent="0.25">
      <c r="A22" s="37"/>
      <c r="D22" s="63"/>
      <c r="E22" s="63"/>
      <c r="F22" s="63"/>
      <c r="G22" s="62"/>
      <c r="H22" s="62"/>
      <c r="I22" s="62"/>
      <c r="J22" s="62"/>
      <c r="K22" s="62"/>
    </row>
    <row r="23" spans="1:11" ht="30" x14ac:dyDescent="0.25">
      <c r="A23" s="37" t="s">
        <v>89</v>
      </c>
      <c r="B23">
        <v>1</v>
      </c>
      <c r="C23" t="s">
        <v>66</v>
      </c>
      <c r="D23" s="63"/>
      <c r="E23" s="63"/>
      <c r="F23" s="63"/>
      <c r="G23" s="62"/>
      <c r="H23" s="62"/>
      <c r="I23" s="62"/>
      <c r="J23" s="62"/>
      <c r="K23" s="62"/>
    </row>
    <row r="24" spans="1:11" x14ac:dyDescent="0.25">
      <c r="A24" s="37"/>
      <c r="D24" s="63"/>
      <c r="E24" s="63"/>
      <c r="F24" s="63"/>
      <c r="G24" s="62"/>
      <c r="H24" s="62"/>
      <c r="I24" s="62"/>
      <c r="J24" s="62"/>
      <c r="K24" s="62"/>
    </row>
    <row r="25" spans="1:11" x14ac:dyDescent="0.25">
      <c r="A25" s="37" t="s">
        <v>90</v>
      </c>
      <c r="B25">
        <v>1</v>
      </c>
      <c r="C25" t="s">
        <v>66</v>
      </c>
      <c r="D25" s="63"/>
      <c r="E25" s="63"/>
      <c r="F25" s="63"/>
      <c r="G25" s="62"/>
      <c r="H25" s="62"/>
      <c r="I25" s="62"/>
      <c r="J25" s="62"/>
      <c r="K25" s="62"/>
    </row>
    <row r="26" spans="1:11" x14ac:dyDescent="0.25">
      <c r="A26" s="37"/>
      <c r="D26" s="63"/>
      <c r="E26" s="63"/>
      <c r="F26" s="63"/>
      <c r="G26" s="62"/>
      <c r="H26" s="62"/>
      <c r="I26" s="62"/>
      <c r="J26" s="62"/>
      <c r="K26" s="62"/>
    </row>
    <row r="27" spans="1:11" x14ac:dyDescent="0.25">
      <c r="A27" s="37" t="s">
        <v>91</v>
      </c>
      <c r="B27">
        <v>1</v>
      </c>
      <c r="C27" t="s">
        <v>66</v>
      </c>
      <c r="D27" s="63"/>
      <c r="E27" s="63"/>
      <c r="F27" s="63"/>
      <c r="G27" s="62"/>
      <c r="H27" s="62"/>
      <c r="I27" s="62"/>
      <c r="J27" s="62"/>
      <c r="K27" s="62"/>
    </row>
    <row r="28" spans="1:11" x14ac:dyDescent="0.25">
      <c r="A28" s="37"/>
      <c r="D28" s="63"/>
      <c r="E28" s="63"/>
      <c r="F28" s="63"/>
      <c r="G28" s="62"/>
      <c r="H28" s="62"/>
      <c r="I28" s="62"/>
      <c r="J28" s="62"/>
      <c r="K28" s="62"/>
    </row>
    <row r="29" spans="1:11" x14ac:dyDescent="0.25">
      <c r="A29" s="37" t="s">
        <v>92</v>
      </c>
      <c r="B29">
        <v>1</v>
      </c>
      <c r="C29" t="s">
        <v>66</v>
      </c>
      <c r="D29" s="63"/>
      <c r="E29" s="63"/>
      <c r="F29" s="63"/>
      <c r="G29" s="62"/>
      <c r="H29" s="62"/>
      <c r="I29" s="62"/>
      <c r="J29" s="62"/>
      <c r="K29" s="62"/>
    </row>
    <row r="30" spans="1:11" x14ac:dyDescent="0.25">
      <c r="A30" s="37"/>
      <c r="D30" s="63"/>
      <c r="E30" s="63"/>
      <c r="F30" s="63"/>
      <c r="G30" s="62"/>
      <c r="H30" s="62"/>
      <c r="I30" s="62"/>
      <c r="J30" s="62"/>
      <c r="K30" s="62"/>
    </row>
    <row r="31" spans="1:11" x14ac:dyDescent="0.25">
      <c r="A31" s="37" t="s">
        <v>93</v>
      </c>
      <c r="B31">
        <v>1</v>
      </c>
      <c r="C31" t="s">
        <v>66</v>
      </c>
      <c r="D31" s="63"/>
      <c r="E31" s="63"/>
      <c r="F31" s="63"/>
      <c r="G31" s="62"/>
      <c r="H31" s="62"/>
      <c r="I31" s="62"/>
      <c r="J31" s="62"/>
      <c r="K31" s="62"/>
    </row>
    <row r="32" spans="1:11" x14ac:dyDescent="0.25">
      <c r="A32" s="37"/>
      <c r="D32" s="63"/>
      <c r="E32" s="63"/>
      <c r="F32" s="63"/>
      <c r="G32" s="62"/>
      <c r="H32" s="62"/>
      <c r="I32" s="62"/>
      <c r="J32" s="62"/>
      <c r="K32" s="62"/>
    </row>
    <row r="33" spans="1:11" ht="45" x14ac:dyDescent="0.25">
      <c r="A33" s="37" t="s">
        <v>94</v>
      </c>
      <c r="B33">
        <v>1</v>
      </c>
      <c r="C33" t="s">
        <v>66</v>
      </c>
      <c r="D33" s="63"/>
      <c r="E33" s="63"/>
      <c r="F33" s="63"/>
      <c r="G33" s="62"/>
      <c r="H33" s="62"/>
      <c r="I33" s="62"/>
      <c r="J33" s="62"/>
      <c r="K33" s="62"/>
    </row>
    <row r="34" spans="1:11" x14ac:dyDescent="0.25">
      <c r="A34" s="37"/>
      <c r="D34" s="63"/>
      <c r="E34" s="63"/>
      <c r="F34" s="63"/>
      <c r="G34" s="62"/>
      <c r="H34" s="62"/>
      <c r="I34" s="62"/>
      <c r="J34" s="62"/>
      <c r="K34" s="62"/>
    </row>
    <row r="35" spans="1:11" ht="30" x14ac:dyDescent="0.25">
      <c r="A35" s="37" t="s">
        <v>95</v>
      </c>
      <c r="B35">
        <v>1</v>
      </c>
      <c r="C35" t="s">
        <v>66</v>
      </c>
      <c r="D35" s="63"/>
      <c r="E35" s="63"/>
      <c r="F35" s="63"/>
      <c r="G35" s="62"/>
      <c r="H35" s="62"/>
      <c r="I35" s="62"/>
      <c r="J35" s="62"/>
      <c r="K35" s="62"/>
    </row>
    <row r="36" spans="1:11" x14ac:dyDescent="0.25">
      <c r="D36" s="62"/>
      <c r="E36" s="62"/>
      <c r="F36" s="62"/>
      <c r="G36" s="62"/>
      <c r="H36" s="62"/>
      <c r="I36" s="62"/>
      <c r="J36" s="62"/>
      <c r="K36" s="62"/>
    </row>
    <row r="37" spans="1:11" x14ac:dyDescent="0.25">
      <c r="A37" s="37" t="s">
        <v>96</v>
      </c>
      <c r="B37">
        <v>1</v>
      </c>
      <c r="C37" t="s">
        <v>66</v>
      </c>
      <c r="D37" s="62"/>
      <c r="E37" s="62"/>
      <c r="F37" s="62"/>
      <c r="G37" s="62"/>
      <c r="H37" s="62"/>
      <c r="I37" s="62"/>
      <c r="J37" s="62"/>
      <c r="K37" s="62"/>
    </row>
    <row r="38" spans="1:11" x14ac:dyDescent="0.25">
      <c r="D38" s="62"/>
      <c r="E38" s="62"/>
      <c r="F38" s="62"/>
      <c r="G38" s="62"/>
      <c r="H38" s="62"/>
      <c r="I38" s="62"/>
      <c r="J38" s="62"/>
      <c r="K38" s="62"/>
    </row>
    <row r="39" spans="1:11" x14ac:dyDescent="0.25">
      <c r="A39" t="s">
        <v>100</v>
      </c>
      <c r="B39">
        <v>1</v>
      </c>
      <c r="C39" t="s">
        <v>76</v>
      </c>
      <c r="D39" s="62"/>
      <c r="E39" s="62"/>
      <c r="F39" s="62"/>
      <c r="G39" s="62"/>
      <c r="H39" s="62"/>
      <c r="I39" s="62"/>
      <c r="J39" s="62"/>
      <c r="K39" s="62"/>
    </row>
    <row r="40" spans="1:11" x14ac:dyDescent="0.25">
      <c r="D40" s="62"/>
      <c r="E40" s="62"/>
      <c r="F40" s="62"/>
      <c r="G40" s="62"/>
      <c r="H40" s="62"/>
      <c r="I40" s="62"/>
      <c r="J40" s="62"/>
      <c r="K40" s="62"/>
    </row>
    <row r="41" spans="1:11" x14ac:dyDescent="0.25">
      <c r="A41" t="s">
        <v>104</v>
      </c>
      <c r="B41">
        <v>500</v>
      </c>
      <c r="C41" t="s">
        <v>73</v>
      </c>
      <c r="D41" s="62"/>
      <c r="E41" s="62"/>
      <c r="F41" s="62"/>
      <c r="G41" s="62"/>
      <c r="H41" s="62"/>
      <c r="I41" s="62"/>
      <c r="J41" s="62"/>
      <c r="K41" s="62"/>
    </row>
    <row r="42" spans="1:11" x14ac:dyDescent="0.25">
      <c r="D42" s="62"/>
      <c r="E42" s="62"/>
      <c r="F42" s="62"/>
      <c r="G42" s="62"/>
      <c r="H42" s="62"/>
      <c r="I42" s="62"/>
      <c r="J42" s="62"/>
      <c r="K42" s="62"/>
    </row>
    <row r="43" spans="1:11" x14ac:dyDescent="0.25">
      <c r="D43" s="62"/>
      <c r="E43" s="62"/>
      <c r="F43" s="62"/>
      <c r="G43" s="62"/>
      <c r="H43" s="62"/>
      <c r="I43" s="62"/>
      <c r="J43" s="62"/>
      <c r="K43" s="62"/>
    </row>
    <row r="44" spans="1:11" x14ac:dyDescent="0.25">
      <c r="D44" s="62"/>
      <c r="E44" s="62"/>
      <c r="F44" s="62"/>
      <c r="G44" s="62"/>
      <c r="H44" s="62"/>
      <c r="I44" s="62"/>
      <c r="J44" s="62"/>
      <c r="K44" s="62"/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 01</vt:lpstr>
      <vt:lpstr>SO 02</vt:lpstr>
      <vt:lpstr>celková bilance zemin</vt:lpstr>
      <vt:lpstr>VON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Kunc</dc:creator>
  <cp:lastModifiedBy>Ing. Petr Kunc</cp:lastModifiedBy>
  <cp:lastPrinted>2018-08-09T05:45:11Z</cp:lastPrinted>
  <dcterms:created xsi:type="dcterms:W3CDTF">2017-08-08T04:57:07Z</dcterms:created>
  <dcterms:modified xsi:type="dcterms:W3CDTF">2018-08-09T06:10:18Z</dcterms:modified>
</cp:coreProperties>
</file>